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8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0.xml" ContentType="application/vnd.openxmlformats-officedocument.drawing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ente\Documents\DOTTORATO\Portogallo\ARTICOLO AVEIRO\DA SOTTOMETTERE Comparative bioch and phys parte C\"/>
    </mc:Choice>
  </mc:AlternateContent>
  <xr:revisionPtr revIDLastSave="0" documentId="13_ncr:1_{657A5E8D-A3A2-42E4-BC21-94EC0FC5292E}" xr6:coauthVersionLast="47" xr6:coauthVersionMax="47" xr10:uidLastSave="{00000000-0000-0000-0000-000000000000}"/>
  <bookViews>
    <workbookView xWindow="-108" yWindow="-108" windowWidth="23256" windowHeight="12456" tabRatio="800" firstSheet="10" activeTab="18" xr2:uid="{C1879679-E565-49CD-8D77-40280F8CC655}"/>
  </bookViews>
  <sheets>
    <sheet name="PROT" sheetId="18" r:id="rId1"/>
    <sheet name="PROT stat (mg-mL)" sheetId="39" r:id="rId2"/>
    <sheet name="ETS" sheetId="10" r:id="rId3"/>
    <sheet name="ETS stat (FW)" sheetId="31" r:id="rId4"/>
    <sheet name="GLY" sheetId="12" r:id="rId5"/>
    <sheet name="GLY stat (FW)" sheetId="33" r:id="rId6"/>
    <sheet name="GSTs" sheetId="15" r:id="rId7"/>
    <sheet name="GST stat (PROT)" sheetId="36" r:id="rId8"/>
    <sheet name="CbEs_pNPBsubstrate" sheetId="9" r:id="rId9"/>
    <sheet name="CbES stat (PROT)" sheetId="37" r:id="rId10"/>
    <sheet name="TAC" sheetId="26" r:id="rId11"/>
    <sheet name="TAC stat (PROT)" sheetId="41" r:id="rId12"/>
    <sheet name="PC" sheetId="17" r:id="rId13"/>
    <sheet name="PC stat (PROT)" sheetId="38" r:id="rId14"/>
    <sheet name="SOD" sheetId="50" r:id="rId15"/>
    <sheet name="SOD stat (PROT)" sheetId="52" r:id="rId16"/>
    <sheet name="AOPP" sheetId="55" r:id="rId17"/>
    <sheet name="AOPP stat (PROT)" sheetId="56" r:id="rId18"/>
    <sheet name="LPO" sheetId="57" r:id="rId19"/>
    <sheet name="LPO stat (PROT)" sheetId="59" r:id="rId20"/>
  </sheets>
  <externalReferences>
    <externalReference r:id="rId21"/>
    <externalReference r:id="rId22"/>
    <externalReference r:id="rId23"/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6" i="57" l="1"/>
  <c r="H87" i="57"/>
  <c r="H86" i="57"/>
  <c r="H85" i="57"/>
  <c r="G85" i="57"/>
  <c r="G87" i="57"/>
  <c r="L86" i="57" s="1"/>
  <c r="C108" i="57"/>
  <c r="C109" i="57"/>
  <c r="C110" i="57"/>
  <c r="C107" i="57"/>
  <c r="C104" i="57"/>
  <c r="C89" i="57"/>
  <c r="D78" i="57"/>
  <c r="H73" i="57"/>
  <c r="C105" i="57"/>
  <c r="C101" i="57"/>
  <c r="C102" i="57"/>
  <c r="C99" i="57"/>
  <c r="C96" i="57"/>
  <c r="C97" i="57"/>
  <c r="C98" i="57"/>
  <c r="C92" i="57"/>
  <c r="C93" i="57"/>
  <c r="C94" i="57"/>
  <c r="C95" i="57"/>
  <c r="C91" i="57"/>
  <c r="C85" i="57"/>
  <c r="C86" i="57"/>
  <c r="C88" i="57"/>
  <c r="C90" i="57"/>
  <c r="N27" i="57"/>
  <c r="N37" i="57" s="1"/>
  <c r="L31" i="57"/>
  <c r="N30" i="57"/>
  <c r="N31" i="57"/>
  <c r="N29" i="57"/>
  <c r="N28" i="57"/>
  <c r="N26" i="57"/>
  <c r="N33" i="57"/>
  <c r="N43" i="57" s="1"/>
  <c r="N68" i="57" s="1"/>
  <c r="L33" i="57"/>
  <c r="L43" i="57" s="1"/>
  <c r="N32" i="57"/>
  <c r="N42" i="57" s="1"/>
  <c r="N67" i="57" s="1"/>
  <c r="L32" i="57"/>
  <c r="L42" i="57" s="1"/>
  <c r="M52" i="57" s="1"/>
  <c r="P30" i="57"/>
  <c r="L30" i="57"/>
  <c r="P29" i="57"/>
  <c r="L29" i="57"/>
  <c r="P28" i="57"/>
  <c r="L28" i="57"/>
  <c r="P27" i="57"/>
  <c r="L27" i="57"/>
  <c r="L37" i="57" s="1"/>
  <c r="P26" i="57"/>
  <c r="P36" i="57" s="1"/>
  <c r="P61" i="57" s="1"/>
  <c r="L26" i="57"/>
  <c r="L36" i="57" s="1"/>
  <c r="F33" i="57"/>
  <c r="D33" i="57"/>
  <c r="B33" i="57"/>
  <c r="F32" i="57"/>
  <c r="D32" i="57"/>
  <c r="B32" i="57"/>
  <c r="F31" i="57"/>
  <c r="D31" i="57"/>
  <c r="B31" i="57"/>
  <c r="H30" i="57"/>
  <c r="F30" i="57"/>
  <c r="D30" i="57"/>
  <c r="B30" i="57"/>
  <c r="H29" i="57"/>
  <c r="F29" i="57"/>
  <c r="D29" i="57"/>
  <c r="B29" i="57"/>
  <c r="H28" i="57"/>
  <c r="F28" i="57"/>
  <c r="D28" i="57"/>
  <c r="B28" i="57"/>
  <c r="H27" i="57"/>
  <c r="F27" i="57"/>
  <c r="D27" i="57"/>
  <c r="B27" i="57"/>
  <c r="H26" i="57"/>
  <c r="F26" i="57"/>
  <c r="D26" i="57"/>
  <c r="B26" i="57"/>
  <c r="G67" i="55"/>
  <c r="L58" i="55"/>
  <c r="L59" i="55"/>
  <c r="L60" i="55"/>
  <c r="L61" i="55"/>
  <c r="L57" i="55"/>
  <c r="J58" i="55"/>
  <c r="J59" i="55"/>
  <c r="J60" i="55"/>
  <c r="J61" i="55"/>
  <c r="J62" i="55"/>
  <c r="J63" i="55"/>
  <c r="J64" i="55"/>
  <c r="J57" i="55"/>
  <c r="H58" i="55"/>
  <c r="H59" i="55"/>
  <c r="H60" i="55"/>
  <c r="H61" i="55"/>
  <c r="H62" i="55"/>
  <c r="H63" i="55"/>
  <c r="H64" i="55"/>
  <c r="H57" i="55"/>
  <c r="F58" i="55"/>
  <c r="F59" i="55"/>
  <c r="F60" i="55"/>
  <c r="F61" i="55"/>
  <c r="F62" i="55"/>
  <c r="F63" i="55"/>
  <c r="F57" i="55"/>
  <c r="L85" i="57" l="1"/>
  <c r="N41" i="57"/>
  <c r="L41" i="57"/>
  <c r="P38" i="57"/>
  <c r="P63" i="57" s="1"/>
  <c r="P37" i="57"/>
  <c r="P62" i="57" s="1"/>
  <c r="P73" i="57" s="1"/>
  <c r="N38" i="57"/>
  <c r="N63" i="57" s="1"/>
  <c r="L38" i="57"/>
  <c r="M48" i="57" s="1"/>
  <c r="N39" i="57"/>
  <c r="N40" i="57"/>
  <c r="N79" i="57"/>
  <c r="P40" i="57"/>
  <c r="P65" i="57" s="1"/>
  <c r="P76" i="57" s="1"/>
  <c r="L39" i="57"/>
  <c r="M49" i="57" s="1"/>
  <c r="P39" i="57"/>
  <c r="P64" i="57" s="1"/>
  <c r="P75" i="57" s="1"/>
  <c r="L40" i="57"/>
  <c r="M50" i="57" s="1"/>
  <c r="B38" i="57"/>
  <c r="C48" i="57" s="1"/>
  <c r="M46" i="57"/>
  <c r="N78" i="57"/>
  <c r="P74" i="57"/>
  <c r="M51" i="57"/>
  <c r="M53" i="57"/>
  <c r="P72" i="57"/>
  <c r="M47" i="57"/>
  <c r="H36" i="57"/>
  <c r="H61" i="57" s="1"/>
  <c r="H72" i="57" s="1"/>
  <c r="B37" i="57"/>
  <c r="C47" i="57" s="1"/>
  <c r="H37" i="57"/>
  <c r="H62" i="57" s="1"/>
  <c r="F37" i="57"/>
  <c r="F62" i="57" s="1"/>
  <c r="F73" i="57" s="1"/>
  <c r="F38" i="57"/>
  <c r="F63" i="57" s="1"/>
  <c r="F74" i="57" s="1"/>
  <c r="F41" i="57"/>
  <c r="F66" i="57" s="1"/>
  <c r="F77" i="57" s="1"/>
  <c r="H39" i="57"/>
  <c r="H64" i="57" s="1"/>
  <c r="H75" i="57" s="1"/>
  <c r="H38" i="57"/>
  <c r="H63" i="57" s="1"/>
  <c r="H74" i="57" s="1"/>
  <c r="B42" i="57"/>
  <c r="C52" i="57" s="1"/>
  <c r="D43" i="57"/>
  <c r="D68" i="57" s="1"/>
  <c r="D79" i="57" s="1"/>
  <c r="B40" i="57"/>
  <c r="C50" i="57" s="1"/>
  <c r="F40" i="57"/>
  <c r="F65" i="57" s="1"/>
  <c r="F76" i="57" s="1"/>
  <c r="H40" i="57"/>
  <c r="H65" i="57" s="1"/>
  <c r="H76" i="57" s="1"/>
  <c r="B41" i="57"/>
  <c r="C51" i="57" s="1"/>
  <c r="B36" i="57"/>
  <c r="C46" i="57" s="1"/>
  <c r="B39" i="57"/>
  <c r="C49" i="57" s="1"/>
  <c r="D42" i="57"/>
  <c r="D67" i="57" s="1"/>
  <c r="F36" i="57"/>
  <c r="F61" i="57" s="1"/>
  <c r="F72" i="57" s="1"/>
  <c r="D41" i="57"/>
  <c r="D66" i="57" s="1"/>
  <c r="D77" i="57" s="1"/>
  <c r="D39" i="57"/>
  <c r="D64" i="57" s="1"/>
  <c r="D75" i="57" s="1"/>
  <c r="F42" i="57"/>
  <c r="F67" i="57" s="1"/>
  <c r="F78" i="57" s="1"/>
  <c r="F39" i="57"/>
  <c r="F64" i="57" s="1"/>
  <c r="F75" i="57" s="1"/>
  <c r="B43" i="57"/>
  <c r="C53" i="57" s="1"/>
  <c r="F43" i="57"/>
  <c r="F68" i="57" s="1"/>
  <c r="F79" i="57" s="1"/>
  <c r="D37" i="57"/>
  <c r="D62" i="57" s="1"/>
  <c r="D40" i="57"/>
  <c r="D65" i="57" s="1"/>
  <c r="D76" i="57" s="1"/>
  <c r="D38" i="57"/>
  <c r="D63" i="57" s="1"/>
  <c r="D74" i="57" s="1"/>
  <c r="N66" i="57" l="1"/>
  <c r="N77" i="57" s="1"/>
  <c r="N65" i="57"/>
  <c r="N76" i="57" s="1"/>
  <c r="N64" i="57"/>
  <c r="N62" i="57"/>
  <c r="N73" i="57" s="1"/>
  <c r="Y38" i="55" l="1"/>
  <c r="J28" i="55"/>
  <c r="H28" i="55"/>
  <c r="F28" i="55"/>
  <c r="C28" i="55"/>
  <c r="J27" i="55"/>
  <c r="H27" i="55"/>
  <c r="F27" i="55"/>
  <c r="C27" i="55"/>
  <c r="J26" i="55"/>
  <c r="H26" i="55"/>
  <c r="F26" i="55"/>
  <c r="C26" i="55"/>
  <c r="L25" i="55"/>
  <c r="L34" i="55" s="1"/>
  <c r="L43" i="55" s="1"/>
  <c r="L52" i="55" s="1"/>
  <c r="J25" i="55"/>
  <c r="H25" i="55"/>
  <c r="F25" i="55"/>
  <c r="C25" i="55"/>
  <c r="L24" i="55"/>
  <c r="J24" i="55"/>
  <c r="H24" i="55"/>
  <c r="F24" i="55"/>
  <c r="C24" i="55"/>
  <c r="L23" i="55"/>
  <c r="J23" i="55"/>
  <c r="H23" i="55"/>
  <c r="H32" i="55" s="1"/>
  <c r="H41" i="55" s="1"/>
  <c r="H50" i="55" s="1"/>
  <c r="F23" i="55"/>
  <c r="C23" i="55"/>
  <c r="L22" i="55"/>
  <c r="J22" i="55"/>
  <c r="H22" i="55"/>
  <c r="F22" i="55"/>
  <c r="C22" i="55"/>
  <c r="L21" i="55"/>
  <c r="J21" i="55"/>
  <c r="H21" i="55"/>
  <c r="F21" i="55"/>
  <c r="C21" i="55"/>
  <c r="L30" i="55" s="1"/>
  <c r="L39" i="55" s="1"/>
  <c r="L48" i="55" s="1"/>
  <c r="F33" i="55" l="1"/>
  <c r="F42" i="55" s="1"/>
  <c r="F51" i="55" s="1"/>
  <c r="H33" i="55"/>
  <c r="H42" i="55" s="1"/>
  <c r="H51" i="55" s="1"/>
  <c r="J33" i="55"/>
  <c r="J42" i="55" s="1"/>
  <c r="J51" i="55" s="1"/>
  <c r="H37" i="55"/>
  <c r="H46" i="55" s="1"/>
  <c r="H55" i="55" s="1"/>
  <c r="H31" i="55"/>
  <c r="H40" i="55" s="1"/>
  <c r="H49" i="55" s="1"/>
  <c r="L33" i="55"/>
  <c r="L42" i="55" s="1"/>
  <c r="L51" i="55" s="1"/>
  <c r="H36" i="55"/>
  <c r="H45" i="55" s="1"/>
  <c r="H54" i="55" s="1"/>
  <c r="D26" i="55"/>
  <c r="Q39" i="55" s="1"/>
  <c r="D27" i="55"/>
  <c r="Q40" i="55" s="1"/>
  <c r="F36" i="55"/>
  <c r="F45" i="55" s="1"/>
  <c r="F54" i="55" s="1"/>
  <c r="J31" i="55"/>
  <c r="J40" i="55" s="1"/>
  <c r="J49" i="55" s="1"/>
  <c r="D25" i="55"/>
  <c r="Q38" i="55" s="1"/>
  <c r="J36" i="55"/>
  <c r="J45" i="55" s="1"/>
  <c r="J54" i="55" s="1"/>
  <c r="J37" i="55"/>
  <c r="J46" i="55" s="1"/>
  <c r="J55" i="55" s="1"/>
  <c r="D24" i="55"/>
  <c r="Q37" i="55" s="1"/>
  <c r="J34" i="55"/>
  <c r="J43" i="55" s="1"/>
  <c r="J52" i="55" s="1"/>
  <c r="D22" i="55"/>
  <c r="Q35" i="55" s="1"/>
  <c r="F37" i="55"/>
  <c r="F46" i="55" s="1"/>
  <c r="F55" i="55" s="1"/>
  <c r="L31" i="55"/>
  <c r="L40" i="55" s="1"/>
  <c r="L49" i="55" s="1"/>
  <c r="F34" i="55"/>
  <c r="F43" i="55" s="1"/>
  <c r="F52" i="55" s="1"/>
  <c r="D28" i="55"/>
  <c r="Q41" i="55" s="1"/>
  <c r="F32" i="55"/>
  <c r="F41" i="55" s="1"/>
  <c r="F50" i="55" s="1"/>
  <c r="D23" i="55"/>
  <c r="Q36" i="55" s="1"/>
  <c r="H34" i="55"/>
  <c r="H43" i="55" s="1"/>
  <c r="H52" i="55" s="1"/>
  <c r="J32" i="55"/>
  <c r="J41" i="55" s="1"/>
  <c r="J50" i="55" s="1"/>
  <c r="H30" i="55"/>
  <c r="H39" i="55" s="1"/>
  <c r="H48" i="55" s="1"/>
  <c r="J35" i="55"/>
  <c r="J44" i="55" s="1"/>
  <c r="J53" i="55" s="1"/>
  <c r="F31" i="55"/>
  <c r="F40" i="55" s="1"/>
  <c r="F49" i="55" s="1"/>
  <c r="L32" i="55"/>
  <c r="L41" i="55" s="1"/>
  <c r="L50" i="55" s="1"/>
  <c r="J30" i="55"/>
  <c r="J39" i="55" s="1"/>
  <c r="J48" i="55" s="1"/>
  <c r="H35" i="55"/>
  <c r="H44" i="55" s="1"/>
  <c r="H53" i="55" s="1"/>
  <c r="F30" i="55"/>
  <c r="F39" i="55" s="1"/>
  <c r="F48" i="55" s="1"/>
  <c r="F35" i="55"/>
  <c r="F44" i="55" s="1"/>
  <c r="F53" i="55" s="1"/>
  <c r="Q55" i="55" l="1"/>
  <c r="R53" i="55"/>
  <c r="I67" i="55"/>
  <c r="S55" i="55" s="1"/>
  <c r="Q53" i="55"/>
  <c r="R55" i="55"/>
  <c r="Q54" i="55"/>
  <c r="R54" i="55"/>
  <c r="K67" i="55"/>
  <c r="S53" i="55" s="1"/>
  <c r="S54" i="55"/>
  <c r="T54" i="55" l="1"/>
  <c r="Y54" i="55"/>
  <c r="T55" i="55"/>
  <c r="AP5" i="50"/>
  <c r="AO5" i="50"/>
  <c r="AP4" i="50"/>
  <c r="AO4" i="50"/>
  <c r="AP3" i="50"/>
  <c r="AO3" i="50"/>
  <c r="Q58" i="50"/>
  <c r="S31" i="50"/>
  <c r="S30" i="50"/>
  <c r="S29" i="50"/>
  <c r="T29" i="50" s="1"/>
  <c r="S28" i="50"/>
  <c r="S27" i="50"/>
  <c r="S26" i="50"/>
  <c r="S25" i="50"/>
  <c r="S24" i="50"/>
  <c r="S23" i="50"/>
  <c r="S22" i="50"/>
  <c r="S21" i="50"/>
  <c r="S20" i="50"/>
  <c r="S19" i="50"/>
  <c r="T19" i="50" s="1"/>
  <c r="S18" i="50"/>
  <c r="S17" i="50"/>
  <c r="T17" i="50" s="1"/>
  <c r="S16" i="50"/>
  <c r="S15" i="50"/>
  <c r="S14" i="50"/>
  <c r="S13" i="50"/>
  <c r="T13" i="50" s="1"/>
  <c r="S12" i="50"/>
  <c r="S11" i="50"/>
  <c r="S10" i="50"/>
  <c r="S9" i="50"/>
  <c r="T9" i="50" s="1"/>
  <c r="S8" i="50"/>
  <c r="S7" i="50"/>
  <c r="T7" i="50" s="1"/>
  <c r="S6" i="50"/>
  <c r="S5" i="50"/>
  <c r="T5" i="50" s="1"/>
  <c r="S4" i="50"/>
  <c r="T4" i="50" s="1"/>
  <c r="S3" i="50"/>
  <c r="Q69" i="50"/>
  <c r="Q68" i="50"/>
  <c r="R68" i="50" s="1"/>
  <c r="Q67" i="50"/>
  <c r="Q66" i="50"/>
  <c r="R66" i="50" s="1"/>
  <c r="Q65" i="50"/>
  <c r="Q64" i="50"/>
  <c r="Q63" i="50"/>
  <c r="Q62" i="50"/>
  <c r="T62" i="50" s="1"/>
  <c r="Q57" i="50"/>
  <c r="Q53" i="50"/>
  <c r="R53" i="50" s="1"/>
  <c r="Q52" i="50"/>
  <c r="R52" i="50" s="1"/>
  <c r="Q51" i="50"/>
  <c r="R51" i="50" s="1"/>
  <c r="Q50" i="50"/>
  <c r="R50" i="50" s="1"/>
  <c r="Q49" i="50"/>
  <c r="R49" i="50" s="1"/>
  <c r="Q48" i="50"/>
  <c r="R48" i="50" s="1"/>
  <c r="Q47" i="50"/>
  <c r="R47" i="50" s="1"/>
  <c r="C39" i="50"/>
  <c r="D36" i="50" s="1"/>
  <c r="C38" i="50"/>
  <c r="C37" i="50"/>
  <c r="D37" i="50" s="1"/>
  <c r="C36" i="50"/>
  <c r="C35" i="50"/>
  <c r="D35" i="50" s="1"/>
  <c r="C34" i="50"/>
  <c r="D34" i="50" s="1"/>
  <c r="C33" i="50"/>
  <c r="D33" i="50" s="1"/>
  <c r="C32" i="50"/>
  <c r="F32" i="50" s="1"/>
  <c r="T25" i="50"/>
  <c r="T23" i="50"/>
  <c r="P5" i="50"/>
  <c r="P4" i="50"/>
  <c r="T3" i="50" s="1"/>
  <c r="S27" i="26"/>
  <c r="O29" i="18"/>
  <c r="O28" i="18"/>
  <c r="O27" i="18"/>
  <c r="E27" i="18"/>
  <c r="O26" i="18"/>
  <c r="E26" i="18"/>
  <c r="O25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J23" i="10"/>
  <c r="T31" i="50" l="1"/>
  <c r="T21" i="50"/>
  <c r="T11" i="50"/>
  <c r="T27" i="50"/>
  <c r="R67" i="50"/>
  <c r="T15" i="50"/>
  <c r="D38" i="50"/>
  <c r="R64" i="50"/>
  <c r="D32" i="50"/>
  <c r="R65" i="50"/>
  <c r="R62" i="50"/>
  <c r="D39" i="50"/>
  <c r="R69" i="50"/>
  <c r="T6" i="50"/>
  <c r="T8" i="50"/>
  <c r="T10" i="50"/>
  <c r="T12" i="50"/>
  <c r="T14" i="50"/>
  <c r="T16" i="50"/>
  <c r="T18" i="50"/>
  <c r="T20" i="50"/>
  <c r="T22" i="50"/>
  <c r="T24" i="50"/>
  <c r="T26" i="50"/>
  <c r="T28" i="50"/>
  <c r="T30" i="50"/>
  <c r="R63" i="50"/>
  <c r="T29" i="18"/>
  <c r="R29" i="18"/>
  <c r="S29" i="18"/>
  <c r="F5" i="18" s="1"/>
  <c r="G5" i="18" s="1"/>
  <c r="F36" i="50" l="1"/>
  <c r="U30" i="50"/>
  <c r="U28" i="50"/>
  <c r="U26" i="50"/>
  <c r="U24" i="50"/>
  <c r="U22" i="50"/>
  <c r="U20" i="50"/>
  <c r="U18" i="50"/>
  <c r="U16" i="50"/>
  <c r="U14" i="50"/>
  <c r="U12" i="50"/>
  <c r="U10" i="50"/>
  <c r="U8" i="50"/>
  <c r="U6" i="50"/>
  <c r="F38" i="50"/>
  <c r="F34" i="50"/>
  <c r="U31" i="50"/>
  <c r="U25" i="50"/>
  <c r="U23" i="50"/>
  <c r="U17" i="50"/>
  <c r="U11" i="50"/>
  <c r="U5" i="50"/>
  <c r="U4" i="50"/>
  <c r="U29" i="50"/>
  <c r="U15" i="50"/>
  <c r="U19" i="50"/>
  <c r="U7" i="50"/>
  <c r="F37" i="50"/>
  <c r="F33" i="50"/>
  <c r="U27" i="50"/>
  <c r="U21" i="50"/>
  <c r="U13" i="50"/>
  <c r="U9" i="50"/>
  <c r="U3" i="50"/>
  <c r="F35" i="50"/>
  <c r="T67" i="50"/>
  <c r="T63" i="50"/>
  <c r="S53" i="50"/>
  <c r="S49" i="50"/>
  <c r="T65" i="50"/>
  <c r="S50" i="50"/>
  <c r="T68" i="50"/>
  <c r="S51" i="50"/>
  <c r="S47" i="50"/>
  <c r="S52" i="50"/>
  <c r="S48" i="50"/>
  <c r="T66" i="50"/>
  <c r="T64" i="50"/>
  <c r="K26" i="18"/>
  <c r="L26" i="18" s="1"/>
  <c r="K25" i="18"/>
  <c r="L25" i="18" s="1"/>
  <c r="K27" i="18"/>
  <c r="L27" i="18" s="1"/>
  <c r="K28" i="18"/>
  <c r="L28" i="18" s="1"/>
  <c r="K29" i="18"/>
  <c r="L29" i="18" s="1"/>
  <c r="J41" i="50" l="1"/>
  <c r="V17" i="50" s="1"/>
  <c r="W17" i="50" s="1"/>
  <c r="Z17" i="50" s="1"/>
  <c r="J40" i="50"/>
  <c r="X73" i="50"/>
  <c r="X72" i="50"/>
  <c r="T50" i="50" s="1"/>
  <c r="U50" i="50" s="1"/>
  <c r="X50" i="50" s="1"/>
  <c r="V19" i="50"/>
  <c r="W19" i="50" s="1"/>
  <c r="Z19" i="50" s="1"/>
  <c r="E24" i="26"/>
  <c r="T51" i="50" l="1"/>
  <c r="U51" i="50" s="1"/>
  <c r="X51" i="50" s="1"/>
  <c r="V3" i="50"/>
  <c r="W3" i="50" s="1"/>
  <c r="Z3" i="50" s="1"/>
  <c r="V30" i="50"/>
  <c r="W30" i="50" s="1"/>
  <c r="Z30" i="50" s="1"/>
  <c r="T48" i="50"/>
  <c r="U48" i="50" s="1"/>
  <c r="X48" i="50" s="1"/>
  <c r="V10" i="50"/>
  <c r="W10" i="50" s="1"/>
  <c r="Z10" i="50" s="1"/>
  <c r="V20" i="50"/>
  <c r="W20" i="50" s="1"/>
  <c r="Z20" i="50" s="1"/>
  <c r="V8" i="50"/>
  <c r="W8" i="50" s="1"/>
  <c r="Z8" i="50" s="1"/>
  <c r="T53" i="50"/>
  <c r="U53" i="50" s="1"/>
  <c r="X53" i="50" s="1"/>
  <c r="V9" i="50"/>
  <c r="W9" i="50" s="1"/>
  <c r="Z9" i="50" s="1"/>
  <c r="V13" i="50"/>
  <c r="W13" i="50" s="1"/>
  <c r="Z13" i="50" s="1"/>
  <c r="V11" i="50"/>
  <c r="W11" i="50" s="1"/>
  <c r="Z11" i="50" s="1"/>
  <c r="T47" i="50"/>
  <c r="U47" i="50" s="1"/>
  <c r="X47" i="50" s="1"/>
  <c r="V18" i="50"/>
  <c r="W18" i="50" s="1"/>
  <c r="Z18" i="50" s="1"/>
  <c r="T49" i="50"/>
  <c r="U49" i="50" s="1"/>
  <c r="X49" i="50" s="1"/>
  <c r="V28" i="50"/>
  <c r="W28" i="50" s="1"/>
  <c r="Z28" i="50" s="1"/>
  <c r="V16" i="50"/>
  <c r="W16" i="50" s="1"/>
  <c r="Z16" i="50" s="1"/>
  <c r="V14" i="50"/>
  <c r="W14" i="50" s="1"/>
  <c r="Z14" i="50" s="1"/>
  <c r="T52" i="50"/>
  <c r="U52" i="50" s="1"/>
  <c r="X52" i="50" s="1"/>
  <c r="V31" i="50"/>
  <c r="W31" i="50" s="1"/>
  <c r="Z31" i="50" s="1"/>
  <c r="V7" i="50"/>
  <c r="W7" i="50" s="1"/>
  <c r="Z7" i="50" s="1"/>
  <c r="V27" i="50"/>
  <c r="W27" i="50" s="1"/>
  <c r="Z27" i="50" s="1"/>
  <c r="V26" i="50"/>
  <c r="W26" i="50" s="1"/>
  <c r="Z26" i="50" s="1"/>
  <c r="V5" i="50"/>
  <c r="W5" i="50" s="1"/>
  <c r="Z5" i="50" s="1"/>
  <c r="V22" i="50"/>
  <c r="W22" i="50" s="1"/>
  <c r="Z22" i="50" s="1"/>
  <c r="V12" i="50"/>
  <c r="W12" i="50" s="1"/>
  <c r="Z12" i="50" s="1"/>
  <c r="V24" i="50"/>
  <c r="W24" i="50" s="1"/>
  <c r="Z24" i="50" s="1"/>
  <c r="V4" i="50"/>
  <c r="W4" i="50" s="1"/>
  <c r="Z4" i="50" s="1"/>
  <c r="V23" i="50"/>
  <c r="W23" i="50" s="1"/>
  <c r="Z23" i="50" s="1"/>
  <c r="V29" i="50"/>
  <c r="W29" i="50" s="1"/>
  <c r="Z29" i="50" s="1"/>
  <c r="V15" i="50"/>
  <c r="W15" i="50" s="1"/>
  <c r="Z15" i="50" s="1"/>
  <c r="V6" i="50"/>
  <c r="W6" i="50" s="1"/>
  <c r="Z6" i="50" s="1"/>
  <c r="V25" i="50"/>
  <c r="W25" i="50" s="1"/>
  <c r="Z25" i="50" s="1"/>
  <c r="V21" i="50"/>
  <c r="W21" i="50" s="1"/>
  <c r="Z21" i="50" s="1"/>
  <c r="M36" i="10"/>
  <c r="P33" i="26" l="1"/>
  <c r="P32" i="26"/>
  <c r="P31" i="26"/>
  <c r="P30" i="26"/>
  <c r="P29" i="26"/>
  <c r="P28" i="26"/>
  <c r="P27" i="26"/>
  <c r="P26" i="26"/>
  <c r="P25" i="26"/>
  <c r="E25" i="26"/>
  <c r="P24" i="26"/>
  <c r="P23" i="26"/>
  <c r="E23" i="26"/>
  <c r="E22" i="26"/>
  <c r="E21" i="26"/>
  <c r="E20" i="26"/>
  <c r="E19" i="26"/>
  <c r="E18" i="26"/>
  <c r="E17" i="26"/>
  <c r="E16" i="26"/>
  <c r="E15" i="26"/>
  <c r="E14" i="26"/>
  <c r="E13" i="26"/>
  <c r="O12" i="26"/>
  <c r="E12" i="26"/>
  <c r="E11" i="26"/>
  <c r="E10" i="26"/>
  <c r="E9" i="26"/>
  <c r="E8" i="26"/>
  <c r="E7" i="26"/>
  <c r="O6" i="26"/>
  <c r="E6" i="26"/>
  <c r="E5" i="26"/>
  <c r="E4" i="26"/>
  <c r="E3" i="26"/>
  <c r="U27" i="26" l="1"/>
  <c r="T27" i="26"/>
  <c r="F3" i="26" s="1"/>
  <c r="F8" i="26"/>
  <c r="G8" i="26" s="1"/>
  <c r="H8" i="26" s="1"/>
  <c r="F14" i="26" l="1"/>
  <c r="G14" i="26" s="1"/>
  <c r="H14" i="26" s="1"/>
  <c r="F12" i="26"/>
  <c r="G12" i="26" s="1"/>
  <c r="H12" i="26" s="1"/>
  <c r="F6" i="26"/>
  <c r="G6" i="26" s="1"/>
  <c r="H6" i="26" s="1"/>
  <c r="F22" i="26"/>
  <c r="G22" i="26" s="1"/>
  <c r="H22" i="26" s="1"/>
  <c r="F17" i="26"/>
  <c r="G17" i="26" s="1"/>
  <c r="H17" i="26" s="1"/>
  <c r="F25" i="26"/>
  <c r="G25" i="26" s="1"/>
  <c r="H25" i="26" s="1"/>
  <c r="F23" i="26"/>
  <c r="G23" i="26" s="1"/>
  <c r="H23" i="26" s="1"/>
  <c r="F16" i="26"/>
  <c r="G16" i="26" s="1"/>
  <c r="H16" i="26" s="1"/>
  <c r="G3" i="26"/>
  <c r="F5" i="26"/>
  <c r="G5" i="26" s="1"/>
  <c r="H5" i="26" s="1"/>
  <c r="F19" i="26"/>
  <c r="G19" i="26" s="1"/>
  <c r="H19" i="26" s="1"/>
  <c r="F18" i="26"/>
  <c r="G18" i="26" s="1"/>
  <c r="H18" i="26" s="1"/>
  <c r="F20" i="26"/>
  <c r="G20" i="26" s="1"/>
  <c r="H20" i="26" s="1"/>
  <c r="F11" i="26"/>
  <c r="G11" i="26" s="1"/>
  <c r="H11" i="26" s="1"/>
  <c r="F4" i="26"/>
  <c r="G4" i="26" s="1"/>
  <c r="H4" i="26" s="1"/>
  <c r="F24" i="26"/>
  <c r="G24" i="26" s="1"/>
  <c r="H24" i="26" s="1"/>
  <c r="F13" i="26"/>
  <c r="G13" i="26" s="1"/>
  <c r="H13" i="26" s="1"/>
  <c r="F7" i="26"/>
  <c r="G7" i="26" s="1"/>
  <c r="H7" i="26" s="1"/>
  <c r="F10" i="26"/>
  <c r="G10" i="26" s="1"/>
  <c r="H10" i="26" s="1"/>
  <c r="F15" i="26"/>
  <c r="G15" i="26" s="1"/>
  <c r="H15" i="26" s="1"/>
  <c r="F9" i="26"/>
  <c r="G9" i="26" s="1"/>
  <c r="H9" i="26" s="1"/>
  <c r="F21" i="26"/>
  <c r="G21" i="26" s="1"/>
  <c r="H21" i="26" s="1"/>
  <c r="H3" i="26" l="1"/>
  <c r="N8" i="18"/>
  <c r="P6" i="17"/>
  <c r="E3" i="17"/>
  <c r="F3" i="17" s="1"/>
  <c r="G3" i="17" s="1"/>
  <c r="H3" i="17" s="1"/>
  <c r="I3" i="17" s="1"/>
  <c r="J3" i="17" s="1"/>
  <c r="E4" i="17"/>
  <c r="F4" i="17" s="1"/>
  <c r="E5" i="17"/>
  <c r="F5" i="17" s="1"/>
  <c r="E6" i="17"/>
  <c r="F6" i="17" s="1"/>
  <c r="E7" i="17"/>
  <c r="F7" i="17" s="1"/>
  <c r="E8" i="17"/>
  <c r="F8" i="17" s="1"/>
  <c r="E9" i="17"/>
  <c r="F9" i="17" s="1"/>
  <c r="E10" i="17"/>
  <c r="F10" i="17" s="1"/>
  <c r="E11" i="17"/>
  <c r="F11" i="17" s="1"/>
  <c r="E12" i="17"/>
  <c r="F12" i="17" s="1"/>
  <c r="E13" i="17"/>
  <c r="F13" i="17" s="1"/>
  <c r="E14" i="17"/>
  <c r="F14" i="17" s="1"/>
  <c r="E15" i="17"/>
  <c r="F15" i="17" s="1"/>
  <c r="E16" i="17"/>
  <c r="F16" i="17" s="1"/>
  <c r="E17" i="17"/>
  <c r="F17" i="17" s="1"/>
  <c r="E18" i="17"/>
  <c r="F18" i="17" s="1"/>
  <c r="E19" i="17"/>
  <c r="F19" i="17" s="1"/>
  <c r="E20" i="17"/>
  <c r="F20" i="17" s="1"/>
  <c r="E21" i="17"/>
  <c r="F21" i="17" s="1"/>
  <c r="E22" i="17"/>
  <c r="F22" i="17" s="1"/>
  <c r="E23" i="17"/>
  <c r="F23" i="17" s="1"/>
  <c r="E24" i="17"/>
  <c r="F24" i="17" s="1"/>
  <c r="E25" i="17"/>
  <c r="F25" i="17" s="1"/>
  <c r="P6" i="15"/>
  <c r="E3" i="15"/>
  <c r="F3" i="15" s="1"/>
  <c r="E4" i="15"/>
  <c r="F4" i="15" s="1"/>
  <c r="E5" i="15"/>
  <c r="F5" i="15" s="1"/>
  <c r="E6" i="15"/>
  <c r="F6" i="15" s="1"/>
  <c r="E7" i="15"/>
  <c r="F7" i="15" s="1"/>
  <c r="G7" i="15" s="1"/>
  <c r="H7" i="15" s="1"/>
  <c r="I7" i="15" s="1"/>
  <c r="E8" i="15"/>
  <c r="F8" i="15" s="1"/>
  <c r="E9" i="15"/>
  <c r="F9" i="15" s="1"/>
  <c r="E10" i="15"/>
  <c r="F10" i="15" s="1"/>
  <c r="E11" i="15"/>
  <c r="F11" i="15" s="1"/>
  <c r="E12" i="15"/>
  <c r="F12" i="15" s="1"/>
  <c r="E13" i="15"/>
  <c r="F13" i="15" s="1"/>
  <c r="E14" i="15"/>
  <c r="F14" i="15" s="1"/>
  <c r="E15" i="15"/>
  <c r="F15" i="15" s="1"/>
  <c r="G15" i="15" s="1"/>
  <c r="H15" i="15" s="1"/>
  <c r="I15" i="15" s="1"/>
  <c r="E16" i="15"/>
  <c r="F16" i="15" s="1"/>
  <c r="E17" i="15"/>
  <c r="F17" i="15" s="1"/>
  <c r="E18" i="15"/>
  <c r="F18" i="15" s="1"/>
  <c r="E19" i="15"/>
  <c r="F19" i="15" s="1"/>
  <c r="E20" i="15"/>
  <c r="F20" i="15" s="1"/>
  <c r="E21" i="15"/>
  <c r="F21" i="15" s="1"/>
  <c r="E22" i="15"/>
  <c r="F22" i="15" s="1"/>
  <c r="E23" i="15"/>
  <c r="F23" i="15" s="1"/>
  <c r="E24" i="15"/>
  <c r="F24" i="15"/>
  <c r="E25" i="15"/>
  <c r="F25" i="15" s="1"/>
  <c r="L6" i="12"/>
  <c r="S8" i="10"/>
  <c r="P6" i="9"/>
  <c r="E5" i="10"/>
  <c r="F5" i="10" s="1"/>
  <c r="G5" i="10" s="1"/>
  <c r="H5" i="10" s="1"/>
  <c r="I5" i="10" s="1"/>
  <c r="J5" i="10" s="1"/>
  <c r="E6" i="10"/>
  <c r="F6" i="10" s="1"/>
  <c r="G6" i="10" s="1"/>
  <c r="H6" i="10" s="1"/>
  <c r="I6" i="10" s="1"/>
  <c r="J6" i="10" s="1"/>
  <c r="E7" i="10"/>
  <c r="F7" i="10" s="1"/>
  <c r="G7" i="10" s="1"/>
  <c r="H7" i="10" s="1"/>
  <c r="I7" i="10" s="1"/>
  <c r="E8" i="10"/>
  <c r="F8" i="10" s="1"/>
  <c r="E9" i="10"/>
  <c r="F9" i="10" s="1"/>
  <c r="E10" i="10"/>
  <c r="F10" i="10" s="1"/>
  <c r="E11" i="10"/>
  <c r="F11" i="10" s="1"/>
  <c r="E12" i="10"/>
  <c r="F12" i="10" s="1"/>
  <c r="E13" i="10"/>
  <c r="F13" i="10" s="1"/>
  <c r="E14" i="10"/>
  <c r="F14" i="10" s="1"/>
  <c r="E15" i="10"/>
  <c r="F15" i="10" s="1"/>
  <c r="E16" i="10"/>
  <c r="F16" i="10" s="1"/>
  <c r="E17" i="10"/>
  <c r="F17" i="10" s="1"/>
  <c r="G17" i="10" s="1"/>
  <c r="H17" i="10" s="1"/>
  <c r="I17" i="10" s="1"/>
  <c r="E18" i="10"/>
  <c r="F18" i="10" s="1"/>
  <c r="E19" i="10"/>
  <c r="F19" i="10"/>
  <c r="E20" i="10"/>
  <c r="F20" i="10" s="1"/>
  <c r="E21" i="10"/>
  <c r="F21" i="10" s="1"/>
  <c r="E22" i="10"/>
  <c r="F22" i="10" s="1"/>
  <c r="E23" i="10"/>
  <c r="F23" i="10" s="1"/>
  <c r="E24" i="10"/>
  <c r="F24" i="10" s="1"/>
  <c r="E25" i="10"/>
  <c r="F25" i="10" s="1"/>
  <c r="E26" i="10"/>
  <c r="F26" i="10" s="1"/>
  <c r="G26" i="10" s="1"/>
  <c r="H26" i="10" s="1"/>
  <c r="I26" i="10" s="1"/>
  <c r="E27" i="10"/>
  <c r="F27" i="10" s="1"/>
  <c r="E3" i="9"/>
  <c r="F3" i="9" s="1"/>
  <c r="E4" i="9"/>
  <c r="F4" i="9" s="1"/>
  <c r="E5" i="9"/>
  <c r="F5" i="9" s="1"/>
  <c r="E6" i="9"/>
  <c r="F6" i="9" s="1"/>
  <c r="E7" i="9"/>
  <c r="F7" i="9" s="1"/>
  <c r="E8" i="9"/>
  <c r="F8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G13" i="17" l="1"/>
  <c r="H13" i="17" s="1"/>
  <c r="I13" i="17" s="1"/>
  <c r="G13" i="15"/>
  <c r="H13" i="15" s="1"/>
  <c r="I13" i="15" s="1"/>
  <c r="G24" i="15"/>
  <c r="H24" i="15" s="1"/>
  <c r="I24" i="15" s="1"/>
  <c r="G23" i="17"/>
  <c r="H23" i="17" s="1"/>
  <c r="I23" i="17" s="1"/>
  <c r="G22" i="17"/>
  <c r="H22" i="17" s="1"/>
  <c r="I22" i="17" s="1"/>
  <c r="G23" i="15"/>
  <c r="H23" i="15" s="1"/>
  <c r="I23" i="15" s="1"/>
  <c r="G9" i="15"/>
  <c r="H9" i="15" s="1"/>
  <c r="I9" i="15" s="1"/>
  <c r="G18" i="15"/>
  <c r="H18" i="15" s="1"/>
  <c r="I18" i="15" s="1"/>
  <c r="G15" i="10"/>
  <c r="H15" i="10" s="1"/>
  <c r="I15" i="10" s="1"/>
  <c r="G23" i="10"/>
  <c r="H23" i="10" s="1"/>
  <c r="I23" i="10" s="1"/>
  <c r="G25" i="10"/>
  <c r="H25" i="10" s="1"/>
  <c r="I25" i="10" s="1"/>
  <c r="J25" i="10" s="1"/>
  <c r="G24" i="17"/>
  <c r="H24" i="17" s="1"/>
  <c r="I24" i="17" s="1"/>
  <c r="G4" i="17"/>
  <c r="H4" i="17" s="1"/>
  <c r="I4" i="17" s="1"/>
  <c r="G9" i="17"/>
  <c r="H9" i="17" s="1"/>
  <c r="I9" i="17" s="1"/>
  <c r="G21" i="17"/>
  <c r="H21" i="17" s="1"/>
  <c r="I21" i="17" s="1"/>
  <c r="G11" i="17"/>
  <c r="H11" i="17" s="1"/>
  <c r="I11" i="17" s="1"/>
  <c r="G10" i="17"/>
  <c r="H10" i="17" s="1"/>
  <c r="I10" i="17" s="1"/>
  <c r="G17" i="17"/>
  <c r="H17" i="17" s="1"/>
  <c r="I17" i="17" s="1"/>
  <c r="G16" i="17"/>
  <c r="H16" i="17" s="1"/>
  <c r="I16" i="17" s="1"/>
  <c r="G15" i="17"/>
  <c r="H15" i="17" s="1"/>
  <c r="I15" i="17" s="1"/>
  <c r="G6" i="17"/>
  <c r="H6" i="17" s="1"/>
  <c r="I6" i="17" s="1"/>
  <c r="G12" i="17"/>
  <c r="H12" i="17" s="1"/>
  <c r="I12" i="17" s="1"/>
  <c r="G20" i="17"/>
  <c r="H20" i="17" s="1"/>
  <c r="I20" i="17" s="1"/>
  <c r="G19" i="17"/>
  <c r="H19" i="17" s="1"/>
  <c r="I19" i="17" s="1"/>
  <c r="G18" i="17"/>
  <c r="H18" i="17" s="1"/>
  <c r="I18" i="17" s="1"/>
  <c r="G8" i="17"/>
  <c r="H8" i="17" s="1"/>
  <c r="I8" i="17" s="1"/>
  <c r="G7" i="17"/>
  <c r="H7" i="17" s="1"/>
  <c r="I7" i="17" s="1"/>
  <c r="G25" i="17"/>
  <c r="H25" i="17" s="1"/>
  <c r="I25" i="17" s="1"/>
  <c r="G14" i="17"/>
  <c r="H14" i="17" s="1"/>
  <c r="I14" i="17" s="1"/>
  <c r="G5" i="17"/>
  <c r="H5" i="17" s="1"/>
  <c r="I5" i="17" s="1"/>
  <c r="G4" i="15"/>
  <c r="H4" i="15" s="1"/>
  <c r="I4" i="15" s="1"/>
  <c r="G20" i="15"/>
  <c r="H20" i="15" s="1"/>
  <c r="I20" i="15" s="1"/>
  <c r="G3" i="15"/>
  <c r="H3" i="15" s="1"/>
  <c r="I3" i="15" s="1"/>
  <c r="J3" i="15" s="1"/>
  <c r="G19" i="15"/>
  <c r="H19" i="15" s="1"/>
  <c r="I19" i="15" s="1"/>
  <c r="J17" i="10"/>
  <c r="J7" i="10"/>
  <c r="J26" i="10"/>
  <c r="G10" i="10"/>
  <c r="H10" i="10" s="1"/>
  <c r="I10" i="10" s="1"/>
  <c r="G9" i="10"/>
  <c r="H9" i="10" s="1"/>
  <c r="I9" i="10" s="1"/>
  <c r="G18" i="10"/>
  <c r="H18" i="10" s="1"/>
  <c r="I18" i="10" s="1"/>
  <c r="G22" i="10"/>
  <c r="H22" i="10" s="1"/>
  <c r="I22" i="10" s="1"/>
  <c r="G14" i="10"/>
  <c r="H14" i="10" s="1"/>
  <c r="I14" i="10" s="1"/>
  <c r="G21" i="10"/>
  <c r="H21" i="10" s="1"/>
  <c r="I21" i="10" s="1"/>
  <c r="J21" i="10" s="1"/>
  <c r="G13" i="10"/>
  <c r="H13" i="10" s="1"/>
  <c r="I13" i="10" s="1"/>
  <c r="G12" i="10"/>
  <c r="H12" i="10" s="1"/>
  <c r="I12" i="10" s="1"/>
  <c r="G20" i="10"/>
  <c r="H20" i="10" s="1"/>
  <c r="I20" i="10" s="1"/>
  <c r="G8" i="10"/>
  <c r="H8" i="10" s="1"/>
  <c r="I8" i="10" s="1"/>
  <c r="G19" i="10"/>
  <c r="H19" i="10" s="1"/>
  <c r="I19" i="10" s="1"/>
  <c r="G24" i="10"/>
  <c r="H24" i="10" s="1"/>
  <c r="I24" i="10" s="1"/>
  <c r="J24" i="10" s="1"/>
  <c r="G27" i="10"/>
  <c r="H27" i="10" s="1"/>
  <c r="I27" i="10" s="1"/>
  <c r="G11" i="10"/>
  <c r="H11" i="10" s="1"/>
  <c r="I11" i="10" s="1"/>
  <c r="G16" i="10"/>
  <c r="H16" i="10" s="1"/>
  <c r="I16" i="10" s="1"/>
  <c r="G11" i="15"/>
  <c r="H11" i="15" s="1"/>
  <c r="I11" i="15" s="1"/>
  <c r="G22" i="15"/>
  <c r="H22" i="15" s="1"/>
  <c r="I22" i="15" s="1"/>
  <c r="G21" i="15"/>
  <c r="H21" i="15" s="1"/>
  <c r="I21" i="15" s="1"/>
  <c r="G16" i="15"/>
  <c r="H16" i="15" s="1"/>
  <c r="I16" i="15" s="1"/>
  <c r="G6" i="15"/>
  <c r="H6" i="15" s="1"/>
  <c r="I6" i="15" s="1"/>
  <c r="G14" i="15"/>
  <c r="H14" i="15" s="1"/>
  <c r="I14" i="15" s="1"/>
  <c r="G17" i="15"/>
  <c r="H17" i="15" s="1"/>
  <c r="I17" i="15" s="1"/>
  <c r="G25" i="15"/>
  <c r="H25" i="15" s="1"/>
  <c r="I25" i="15" s="1"/>
  <c r="G10" i="15"/>
  <c r="H10" i="15" s="1"/>
  <c r="I10" i="15" s="1"/>
  <c r="G5" i="15"/>
  <c r="H5" i="15" s="1"/>
  <c r="I5" i="15" s="1"/>
  <c r="G8" i="15"/>
  <c r="H8" i="15" s="1"/>
  <c r="I8" i="15" s="1"/>
  <c r="G12" i="15"/>
  <c r="H12" i="15" s="1"/>
  <c r="I12" i="15" s="1"/>
  <c r="G5" i="9"/>
  <c r="H5" i="9" s="1"/>
  <c r="I5" i="9" s="1"/>
  <c r="G23" i="9"/>
  <c r="H23" i="9" s="1"/>
  <c r="I23" i="9" s="1"/>
  <c r="G15" i="9"/>
  <c r="H15" i="9" s="1"/>
  <c r="I15" i="9" s="1"/>
  <c r="G20" i="9"/>
  <c r="H20" i="9" s="1"/>
  <c r="I20" i="9" s="1"/>
  <c r="G4" i="9"/>
  <c r="H4" i="9" s="1"/>
  <c r="I4" i="9" s="1"/>
  <c r="G25" i="9"/>
  <c r="H25" i="9" s="1"/>
  <c r="I25" i="9" s="1"/>
  <c r="G18" i="9"/>
  <c r="H18" i="9" s="1"/>
  <c r="I18" i="9" s="1"/>
  <c r="G17" i="9"/>
  <c r="H17" i="9" s="1"/>
  <c r="I17" i="9" s="1"/>
  <c r="G13" i="9"/>
  <c r="H13" i="9" s="1"/>
  <c r="I13" i="9" s="1"/>
  <c r="G6" i="9"/>
  <c r="H6" i="9" s="1"/>
  <c r="I6" i="9" s="1"/>
  <c r="G12" i="9"/>
  <c r="H12" i="9" s="1"/>
  <c r="I12" i="9" s="1"/>
  <c r="G22" i="9"/>
  <c r="H22" i="9" s="1"/>
  <c r="I22" i="9" s="1"/>
  <c r="G11" i="9"/>
  <c r="H11" i="9" s="1"/>
  <c r="I11" i="9" s="1"/>
  <c r="G21" i="9"/>
  <c r="H21" i="9" s="1"/>
  <c r="I21" i="9" s="1"/>
  <c r="G10" i="9"/>
  <c r="H10" i="9" s="1"/>
  <c r="I10" i="9" s="1"/>
  <c r="G7" i="9"/>
  <c r="H7" i="9" s="1"/>
  <c r="I7" i="9" s="1"/>
  <c r="G19" i="9"/>
  <c r="H19" i="9" s="1"/>
  <c r="I19" i="9" s="1"/>
  <c r="G8" i="9"/>
  <c r="H8" i="9" s="1"/>
  <c r="I8" i="9" s="1"/>
  <c r="G3" i="9"/>
  <c r="H3" i="9" s="1"/>
  <c r="I3" i="9" s="1"/>
  <c r="J3" i="9" s="1"/>
  <c r="G24" i="9"/>
  <c r="H24" i="9" s="1"/>
  <c r="I24" i="9" s="1"/>
  <c r="G16" i="9"/>
  <c r="H16" i="9" s="1"/>
  <c r="I16" i="9" s="1"/>
  <c r="G14" i="9"/>
  <c r="H14" i="9" s="1"/>
  <c r="I14" i="9" s="1"/>
  <c r="L5" i="10" l="1"/>
  <c r="K23" i="10"/>
  <c r="R19" i="10" s="1"/>
  <c r="L23" i="10"/>
  <c r="J15" i="10"/>
  <c r="F16" i="18"/>
  <c r="G16" i="18" s="1"/>
  <c r="F18" i="18"/>
  <c r="G18" i="18" s="1"/>
  <c r="J20" i="10"/>
  <c r="J13" i="10"/>
  <c r="J16" i="10"/>
  <c r="J22" i="10"/>
  <c r="J11" i="10"/>
  <c r="J27" i="10"/>
  <c r="J18" i="10"/>
  <c r="J9" i="10"/>
  <c r="J10" i="10"/>
  <c r="J8" i="10"/>
  <c r="F8" i="18"/>
  <c r="F11" i="18"/>
  <c r="F17" i="18"/>
  <c r="G17" i="18" s="1"/>
  <c r="F25" i="18"/>
  <c r="G25" i="18" s="1"/>
  <c r="F7" i="18"/>
  <c r="F24" i="18"/>
  <c r="G24" i="18" s="1"/>
  <c r="F23" i="18"/>
  <c r="G23" i="18" s="1"/>
  <c r="F21" i="18"/>
  <c r="G21" i="18" s="1"/>
  <c r="F22" i="18"/>
  <c r="G22" i="18" s="1"/>
  <c r="F20" i="18"/>
  <c r="G20" i="18" s="1"/>
  <c r="F13" i="18"/>
  <c r="F19" i="18"/>
  <c r="G19" i="18" s="1"/>
  <c r="F26" i="18"/>
  <c r="G26" i="18" s="1"/>
  <c r="F6" i="18"/>
  <c r="G6" i="18" s="1"/>
  <c r="F10" i="18"/>
  <c r="F9" i="18"/>
  <c r="F14" i="18"/>
  <c r="G14" i="18" s="1"/>
  <c r="F27" i="18"/>
  <c r="G27" i="18" s="1"/>
  <c r="F15" i="18"/>
  <c r="G15" i="18" s="1"/>
  <c r="J13" i="9" s="1"/>
  <c r="F12" i="18"/>
  <c r="H14" i="18" l="1"/>
  <c r="H23" i="18"/>
  <c r="M18" i="18" s="1"/>
  <c r="I3" i="26"/>
  <c r="L14" i="10"/>
  <c r="S21" i="10" s="1"/>
  <c r="G11" i="18"/>
  <c r="G8" i="18"/>
  <c r="G13" i="18"/>
  <c r="G12" i="18"/>
  <c r="G9" i="18"/>
  <c r="G7" i="18"/>
  <c r="H5" i="18" s="1"/>
  <c r="G10" i="18"/>
  <c r="I18" i="26"/>
  <c r="J18" i="15"/>
  <c r="J24" i="9"/>
  <c r="I24" i="26"/>
  <c r="K5" i="10"/>
  <c r="R20" i="10" s="1"/>
  <c r="T40" i="10" s="1"/>
  <c r="S19" i="10"/>
  <c r="I23" i="18"/>
  <c r="N18" i="18" s="1"/>
  <c r="I14" i="18"/>
  <c r="N20" i="18" s="1"/>
  <c r="M20" i="18"/>
  <c r="J22" i="9"/>
  <c r="J22" i="17"/>
  <c r="I22" i="26"/>
  <c r="J22" i="15"/>
  <c r="I23" i="26"/>
  <c r="J23" i="17"/>
  <c r="J23" i="9"/>
  <c r="J23" i="15"/>
  <c r="J15" i="15"/>
  <c r="J15" i="17"/>
  <c r="J15" i="9"/>
  <c r="J24" i="17"/>
  <c r="J24" i="15"/>
  <c r="J17" i="9"/>
  <c r="I17" i="26"/>
  <c r="J17" i="17"/>
  <c r="J18" i="9"/>
  <c r="J18" i="17"/>
  <c r="I20" i="26"/>
  <c r="J20" i="15"/>
  <c r="J20" i="9"/>
  <c r="J20" i="17"/>
  <c r="J19" i="17"/>
  <c r="I19" i="26"/>
  <c r="J21" i="17"/>
  <c r="I21" i="26"/>
  <c r="J21" i="9"/>
  <c r="J21" i="15"/>
  <c r="J16" i="9"/>
  <c r="I16" i="26"/>
  <c r="J16" i="15"/>
  <c r="K14" i="10"/>
  <c r="R21" i="10" s="1"/>
  <c r="T41" i="10" s="1"/>
  <c r="J25" i="9"/>
  <c r="J25" i="17"/>
  <c r="J13" i="17"/>
  <c r="J12" i="15"/>
  <c r="J12" i="9"/>
  <c r="I12" i="26"/>
  <c r="J12" i="17"/>
  <c r="J14" i="9"/>
  <c r="J14" i="17"/>
  <c r="I14" i="26"/>
  <c r="J14" i="15"/>
  <c r="S20" i="10"/>
  <c r="J6" i="17" l="1"/>
  <c r="J8" i="15"/>
  <c r="J9" i="17"/>
  <c r="J5" i="15"/>
  <c r="J7" i="17"/>
  <c r="M19" i="18"/>
  <c r="I4" i="26"/>
  <c r="J9" i="15"/>
  <c r="J11" i="9"/>
  <c r="I5" i="26"/>
  <c r="J8" i="17"/>
  <c r="I8" i="26"/>
  <c r="J8" i="9"/>
  <c r="J10" i="17"/>
  <c r="J11" i="17"/>
  <c r="J4" i="15"/>
  <c r="I9" i="26"/>
  <c r="J6" i="9"/>
  <c r="I10" i="26"/>
  <c r="J10" i="9"/>
  <c r="J4" i="9"/>
  <c r="J5" i="9"/>
  <c r="I7" i="26"/>
  <c r="J7" i="9"/>
  <c r="J7" i="15"/>
  <c r="J11" i="15"/>
  <c r="I11" i="26"/>
  <c r="I6" i="26"/>
  <c r="I5" i="18"/>
  <c r="N19" i="18" s="1"/>
  <c r="J5" i="17"/>
  <c r="L21" i="15"/>
  <c r="P17" i="15" s="1"/>
  <c r="K21" i="15"/>
  <c r="O17" i="15" s="1"/>
  <c r="L21" i="17"/>
  <c r="P17" i="17" s="1"/>
  <c r="K21" i="17"/>
  <c r="O17" i="17" s="1"/>
  <c r="L21" i="9"/>
  <c r="P17" i="9" s="1"/>
  <c r="K21" i="9"/>
  <c r="O17" i="9" s="1"/>
  <c r="K12" i="15"/>
  <c r="O19" i="15" s="1"/>
  <c r="L12" i="15"/>
  <c r="P19" i="15" s="1"/>
  <c r="K12" i="17"/>
  <c r="O19" i="17" s="1"/>
  <c r="L12" i="17"/>
  <c r="P19" i="17" s="1"/>
  <c r="K12" i="9"/>
  <c r="O19" i="9" s="1"/>
  <c r="L12" i="9"/>
  <c r="P19" i="9" s="1"/>
  <c r="J21" i="26"/>
  <c r="N16" i="26" s="1"/>
  <c r="K21" i="26"/>
  <c r="O16" i="26" s="1"/>
  <c r="J12" i="26"/>
  <c r="N18" i="26" s="1"/>
  <c r="K12" i="26"/>
  <c r="O18" i="26" s="1"/>
  <c r="K3" i="9" l="1"/>
  <c r="Q40" i="9"/>
  <c r="J3" i="26"/>
  <c r="N17" i="26" s="1"/>
  <c r="V52" i="26" s="1"/>
  <c r="L3" i="17"/>
  <c r="P18" i="17" s="1"/>
  <c r="K3" i="17"/>
  <c r="O18" i="17" s="1"/>
  <c r="L3" i="9"/>
  <c r="P18" i="9" s="1"/>
  <c r="K3" i="15"/>
  <c r="O18" i="15" s="1"/>
  <c r="P39" i="15" s="1"/>
  <c r="K3" i="26"/>
  <c r="O17" i="26" s="1"/>
  <c r="L3" i="15"/>
  <c r="P18" i="15" s="1"/>
  <c r="O18" i="9"/>
  <c r="Q39" i="9" s="1"/>
  <c r="E6" i="12"/>
  <c r="D6" i="12"/>
  <c r="L17" i="12"/>
  <c r="H3" i="12"/>
  <c r="E11" i="12"/>
  <c r="D11" i="12"/>
  <c r="L28" i="12"/>
  <c r="Q50" i="12"/>
  <c r="K18" i="12"/>
  <c r="G12" i="12"/>
  <c r="E19" i="12"/>
  <c r="D19" i="12"/>
  <c r="Q49" i="12"/>
  <c r="K17" i="12"/>
  <c r="D3" i="12"/>
  <c r="E3" i="12"/>
  <c r="F3" i="12"/>
  <c r="G3" i="12"/>
  <c r="L18" i="12"/>
  <c r="D13" i="12"/>
  <c r="E13" i="12"/>
  <c r="F13" i="12"/>
  <c r="H12" i="12"/>
  <c r="D18" i="12"/>
  <c r="E18" i="12"/>
  <c r="F18" i="12"/>
  <c r="F14" i="12"/>
  <c r="E14" i="12"/>
  <c r="D14" i="12"/>
  <c r="L25" i="12"/>
  <c r="L29" i="12"/>
  <c r="D4" i="12"/>
  <c r="E4" i="12"/>
  <c r="F4" i="12"/>
  <c r="E20" i="12"/>
  <c r="D20" i="12"/>
  <c r="E12" i="12"/>
  <c r="D12" i="12"/>
  <c r="L27" i="12"/>
  <c r="D9" i="12"/>
  <c r="E9" i="12"/>
  <c r="F9" i="12"/>
  <c r="E10" i="12"/>
  <c r="D10" i="12"/>
  <c r="O30" i="12"/>
  <c r="Q30" i="12"/>
  <c r="L23" i="12"/>
  <c r="L12" i="12"/>
  <c r="D7" i="12"/>
  <c r="E7" i="12"/>
  <c r="F7" i="12"/>
  <c r="E5" i="12"/>
  <c r="D5" i="12"/>
  <c r="F25" i="12"/>
  <c r="E25" i="12"/>
  <c r="D25" i="12"/>
  <c r="D16" i="12"/>
  <c r="E16" i="12"/>
  <c r="F16" i="12"/>
  <c r="F23" i="12"/>
  <c r="E23" i="12"/>
  <c r="D23" i="12"/>
  <c r="E21" i="12"/>
  <c r="D21" i="12"/>
  <c r="D17" i="12"/>
  <c r="E17" i="12"/>
  <c r="F17" i="12"/>
  <c r="H21" i="12"/>
  <c r="L16" i="12"/>
  <c r="D15" i="12"/>
  <c r="E15" i="12"/>
  <c r="F15" i="12"/>
  <c r="D22" i="12"/>
  <c r="E22" i="12"/>
  <c r="F22" i="12"/>
  <c r="G21" i="12"/>
  <c r="K16" i="12"/>
  <c r="L30" i="12"/>
  <c r="L24" i="12"/>
  <c r="D24" i="12"/>
  <c r="E24" i="12"/>
  <c r="F24" i="12"/>
  <c r="P30" i="12"/>
  <c r="D8" i="12"/>
  <c r="E8" i="12"/>
  <c r="F8" i="12"/>
  <c r="L26" i="12"/>
</calcChain>
</file>

<file path=xl/sharedStrings.xml><?xml version="1.0" encoding="utf-8"?>
<sst xmlns="http://schemas.openxmlformats.org/spreadsheetml/2006/main" count="1484" uniqueCount="244">
  <si>
    <t>Conditions</t>
  </si>
  <si>
    <t>Individuals</t>
  </si>
  <si>
    <t xml:space="preserve"> </t>
  </si>
  <si>
    <t>ΔAbs 1</t>
  </si>
  <si>
    <t>ΔAbs2</t>
  </si>
  <si>
    <t>Media</t>
  </si>
  <si>
    <t>Δabs-Blank</t>
  </si>
  <si>
    <t>media (condition)</t>
  </si>
  <si>
    <t>Sd(condition)</t>
  </si>
  <si>
    <t xml:space="preserve">Dilution: </t>
  </si>
  <si>
    <t>x</t>
  </si>
  <si>
    <t xml:space="preserve"> Weight:</t>
  </si>
  <si>
    <t>g</t>
  </si>
  <si>
    <t>Buffer Vol.:</t>
  </si>
  <si>
    <t>ml</t>
  </si>
  <si>
    <t>Blank:</t>
  </si>
  <si>
    <t>Graphical data:</t>
  </si>
  <si>
    <t>Condition</t>
  </si>
  <si>
    <t>Media per condition</t>
  </si>
  <si>
    <t>Sd per condition</t>
  </si>
  <si>
    <t>Cond3</t>
  </si>
  <si>
    <t>Ext. coefficient:</t>
  </si>
  <si>
    <r>
      <t>M</t>
    </r>
    <r>
      <rPr>
        <vertAlign val="superscript"/>
        <sz val="11"/>
        <color theme="1"/>
        <rFont val="Calibri"/>
        <family val="2"/>
        <scheme val="minor"/>
      </rPr>
      <t>-1</t>
    </r>
    <r>
      <rPr>
        <sz val="11"/>
        <color theme="1"/>
        <rFont val="Calibri"/>
        <family val="2"/>
        <scheme val="minor"/>
      </rPr>
      <t>cm</t>
    </r>
    <r>
      <rPr>
        <vertAlign val="superscript"/>
        <sz val="11"/>
        <color theme="1"/>
        <rFont val="Calibri"/>
        <family val="2"/>
        <scheme val="minor"/>
      </rPr>
      <t>-1</t>
    </r>
  </si>
  <si>
    <t>activity mmol/mL</t>
  </si>
  <si>
    <t>abs</t>
  </si>
  <si>
    <t>Dilution</t>
  </si>
  <si>
    <r>
      <t>r</t>
    </r>
    <r>
      <rPr>
        <b/>
        <vertAlign val="superscript"/>
        <sz val="11"/>
        <color theme="0"/>
        <rFont val="Calibri"/>
        <family val="2"/>
        <scheme val="minor"/>
      </rPr>
      <t>2</t>
    </r>
  </si>
  <si>
    <t>b</t>
  </si>
  <si>
    <t>m</t>
  </si>
  <si>
    <t>Standard's Curve:</t>
  </si>
  <si>
    <t>Slope</t>
  </si>
  <si>
    <t xml:space="preserve">25 ul sample + 200 ul Reaction Buffer (pNPB 100mM + phosphate buffer 50mM, ph7) </t>
  </si>
  <si>
    <t>uL</t>
  </si>
  <si>
    <t>cm</t>
  </si>
  <si>
    <t>Reaction (fixed values):</t>
  </si>
  <si>
    <t>Sample's volume:</t>
  </si>
  <si>
    <t>Final Volume:</t>
  </si>
  <si>
    <t>Well's length of light path:</t>
  </si>
  <si>
    <t>35.7 ul sample + 107 ul BSS + 35.7 ul NAD(P)H + 71.4 ul INT</t>
  </si>
  <si>
    <r>
      <t xml:space="preserve">conversion to </t>
    </r>
    <r>
      <rPr>
        <b/>
        <sz val="11"/>
        <color rgb="FFFF0000"/>
        <rFont val="Calibri"/>
        <family val="2"/>
        <scheme val="minor"/>
      </rPr>
      <t>nmol</t>
    </r>
    <r>
      <rPr>
        <b/>
        <sz val="11"/>
        <color theme="0"/>
        <rFont val="Calibri"/>
        <family val="2"/>
        <scheme val="minor"/>
      </rPr>
      <t>/mL</t>
    </r>
  </si>
  <si>
    <t>r^2</t>
  </si>
  <si>
    <t>to mg/g FW</t>
  </si>
  <si>
    <t>&lt;converted to microplate</t>
  </si>
  <si>
    <t>Δabs 2</t>
  </si>
  <si>
    <t>media</t>
  </si>
  <si>
    <r>
      <t xml:space="preserve">to </t>
    </r>
    <r>
      <rPr>
        <b/>
        <sz val="11"/>
        <color rgb="FFFF0000"/>
        <rFont val="Calibri"/>
        <family val="2"/>
        <scheme val="minor"/>
      </rPr>
      <t>nmol</t>
    </r>
    <r>
      <rPr>
        <b/>
        <sz val="11"/>
        <color theme="0"/>
        <rFont val="Calibri"/>
        <family val="2"/>
        <scheme val="minor"/>
      </rPr>
      <t>/min/g FW</t>
    </r>
  </si>
  <si>
    <r>
      <t>10 ul sample + 100 ul phenol + 600 ul H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SO</t>
    </r>
    <r>
      <rPr>
        <b/>
        <vertAlign val="subscript"/>
        <sz val="11"/>
        <color theme="0"/>
        <rFont val="Calibri"/>
        <family val="2"/>
        <scheme val="minor"/>
      </rPr>
      <t>4</t>
    </r>
    <r>
      <rPr>
        <b/>
        <sz val="11"/>
        <color theme="0"/>
        <rFont val="Calibri"/>
        <family val="2"/>
        <scheme val="minor"/>
      </rPr>
      <t xml:space="preserve"> 98% (in microtube)</t>
    </r>
  </si>
  <si>
    <t>100 ul sample + 200 ul reaction buffer</t>
  </si>
  <si>
    <t>120 ul sample  + 120 ul DNPH + 60 ul NaOH</t>
  </si>
  <si>
    <t>25ul sample+300 ul Biuret</t>
  </si>
  <si>
    <t>Standard</t>
  </si>
  <si>
    <t>BLANK</t>
  </si>
  <si>
    <t>Dilution (µmol/L)</t>
  </si>
  <si>
    <t>to µmol/mL</t>
  </si>
  <si>
    <t>Fe(II) µM</t>
  </si>
  <si>
    <t>Δabs 1</t>
  </si>
  <si>
    <t>A</t>
  </si>
  <si>
    <t>B</t>
  </si>
  <si>
    <t>C</t>
  </si>
  <si>
    <t>D</t>
  </si>
  <si>
    <t>E</t>
  </si>
  <si>
    <t>F</t>
  </si>
  <si>
    <t>G</t>
  </si>
  <si>
    <t>H</t>
  </si>
  <si>
    <t>Buffer Vol,:</t>
  </si>
  <si>
    <t>Ext, coefficient:</t>
  </si>
  <si>
    <t>norm prot</t>
  </si>
  <si>
    <t>NORM PROT</t>
  </si>
  <si>
    <t>ETS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</si>
  <si>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</si>
  <si>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</si>
  <si>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</si>
  <si>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</si>
  <si>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</si>
  <si>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</si>
  <si>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</si>
  <si>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</si>
  <si>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</si>
  <si>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C3</t>
  </si>
  <si>
    <t>C6</t>
  </si>
  <si>
    <t>C7</t>
  </si>
  <si>
    <t>C8</t>
  </si>
  <si>
    <t>PROT</t>
  </si>
  <si>
    <t>GLY</t>
  </si>
  <si>
    <t>TAC</t>
  </si>
  <si>
    <t>GST</t>
  </si>
  <si>
    <t>PC</t>
  </si>
  <si>
    <t>C10</t>
  </si>
  <si>
    <t>CTRL</t>
  </si>
  <si>
    <t>medium polluted</t>
  </si>
  <si>
    <t>highly polluted</t>
  </si>
  <si>
    <t>SITE</t>
  </si>
  <si>
    <t>CbES</t>
  </si>
  <si>
    <t>stat</t>
  </si>
  <si>
    <t>mg/mL</t>
  </si>
  <si>
    <r>
      <t>Standard conc (</t>
    </r>
    <r>
      <rPr>
        <b/>
        <sz val="12"/>
        <color theme="0"/>
        <rFont val="Aptos Narrow"/>
        <family val="2"/>
      </rPr>
      <t>µg/µL or mg/mL</t>
    </r>
    <r>
      <rPr>
        <b/>
        <sz val="12"/>
        <color theme="0"/>
        <rFont val="Calibri"/>
        <family val="2"/>
        <scheme val="minor"/>
      </rPr>
      <t>)</t>
    </r>
  </si>
  <si>
    <t>conc BSA</t>
  </si>
  <si>
    <t>µg/µL or mg/mL</t>
  </si>
  <si>
    <t>µg</t>
  </si>
  <si>
    <t>BSA (µL)</t>
  </si>
  <si>
    <r>
      <t>vol tot. (</t>
    </r>
    <r>
      <rPr>
        <b/>
        <sz val="11"/>
        <color theme="1"/>
        <rFont val="Aptos Narrow"/>
        <family val="2"/>
      </rPr>
      <t>µ</t>
    </r>
    <r>
      <rPr>
        <b/>
        <sz val="8.8000000000000007"/>
        <color theme="1"/>
        <rFont val="Calibri"/>
        <family val="2"/>
      </rPr>
      <t>L)</t>
    </r>
  </si>
  <si>
    <t>Sd</t>
  </si>
  <si>
    <t>AB</t>
  </si>
  <si>
    <t>medium polluted  CTRL</t>
  </si>
  <si>
    <t>highly polluted  CTRL</t>
  </si>
  <si>
    <t>highly polluted  medium polluted</t>
  </si>
  <si>
    <t>Compared groups</t>
  </si>
  <si>
    <t>p-value</t>
  </si>
  <si>
    <t>% variation</t>
  </si>
  <si>
    <t>LPO</t>
  </si>
  <si>
    <t>mg GLY/g FW</t>
  </si>
  <si>
    <t>U GST (nmol S-(2,4-dinitrophenyl)glutathione/min/mg PROT)</t>
  </si>
  <si>
    <t>U CbES (nmol p-nitrophenol /min/mg PROT)</t>
  </si>
  <si>
    <r>
      <t>µmol Fe</t>
    </r>
    <r>
      <rPr>
        <b/>
        <vertAlign val="superscript"/>
        <sz val="11"/>
        <color theme="1"/>
        <rFont val="Calibri"/>
        <family val="2"/>
        <scheme val="minor"/>
      </rPr>
      <t>2+</t>
    </r>
    <r>
      <rPr>
        <b/>
        <sz val="11"/>
        <color theme="1"/>
        <rFont val="Calibri"/>
        <family val="2"/>
        <scheme val="minor"/>
      </rPr>
      <t>eq./mg PROT</t>
    </r>
  </si>
  <si>
    <t>nmol protein carbonyl groups/mg PROT</t>
  </si>
  <si>
    <t>nmol INT-formazan/min/g FW</t>
  </si>
  <si>
    <r>
      <rPr>
        <b/>
        <sz val="11"/>
        <color theme="3" tint="-0.249977111117893"/>
        <rFont val="Calibri"/>
        <family val="2"/>
        <scheme val="minor"/>
      </rPr>
      <t>Variables</t>
    </r>
    <r>
      <rPr>
        <b/>
        <sz val="11"/>
        <color theme="1" tint="0.14999847407452621"/>
        <rFont val="Calibri"/>
        <family val="2"/>
        <scheme val="minor"/>
      </rPr>
      <t>:</t>
    </r>
  </si>
  <si>
    <t>Average</t>
  </si>
  <si>
    <t>Mean per condition</t>
  </si>
  <si>
    <t>Mean</t>
  </si>
  <si>
    <t>Abs replicate 1</t>
  </si>
  <si>
    <t>Abs replicate 2</t>
  </si>
  <si>
    <t xml:space="preserve">Sd </t>
  </si>
  <si>
    <t>Mean Abs</t>
  </si>
  <si>
    <t>50 uL sample + 200 ul FRAP</t>
  </si>
  <si>
    <t>PLATE (01/12/2025)</t>
  </si>
  <si>
    <t>Sample</t>
  </si>
  <si>
    <t>absorbance mean</t>
  </si>
  <si>
    <t>final sample volume</t>
  </si>
  <si>
    <t>SOD (lsr)</t>
  </si>
  <si>
    <t>SOD activity in well</t>
  </si>
  <si>
    <t>SOD (unit/mL)</t>
  </si>
  <si>
    <t>dilution factor use for the sample</t>
  </si>
  <si>
    <t>proteins</t>
  </si>
  <si>
    <t>&lt;&gt;</t>
  </si>
  <si>
    <t>A1</t>
  </si>
  <si>
    <t>blank mean</t>
  </si>
  <si>
    <t>A2</t>
  </si>
  <si>
    <t>no SOD mean</t>
  </si>
  <si>
    <t>A3</t>
  </si>
  <si>
    <t>A4</t>
  </si>
  <si>
    <t>A5</t>
  </si>
  <si>
    <t>A6</t>
  </si>
  <si>
    <t>A7</t>
  </si>
  <si>
    <t>A8</t>
  </si>
  <si>
    <t>A9</t>
  </si>
  <si>
    <t xml:space="preserve">NO SOD </t>
  </si>
  <si>
    <t>ST1</t>
  </si>
  <si>
    <t>ST2</t>
  </si>
  <si>
    <t>B10</t>
  </si>
  <si>
    <t>C1</t>
  </si>
  <si>
    <t>ST3</t>
  </si>
  <si>
    <t>C2</t>
  </si>
  <si>
    <t>C4</t>
  </si>
  <si>
    <t>C5</t>
  </si>
  <si>
    <t>ST4</t>
  </si>
  <si>
    <t>C9</t>
  </si>
  <si>
    <t>D1</t>
  </si>
  <si>
    <t>ST5</t>
  </si>
  <si>
    <t>D2</t>
  </si>
  <si>
    <t>D3</t>
  </si>
  <si>
    <t>D4</t>
  </si>
  <si>
    <t>D5</t>
  </si>
  <si>
    <t>D6</t>
  </si>
  <si>
    <t>ST6</t>
  </si>
  <si>
    <t>D7</t>
  </si>
  <si>
    <t>D8</t>
  </si>
  <si>
    <t>D9</t>
  </si>
  <si>
    <t>X</t>
  </si>
  <si>
    <t>Y</t>
  </si>
  <si>
    <t xml:space="preserve">linearized SOD </t>
  </si>
  <si>
    <t>NO SOD</t>
  </si>
  <si>
    <t>slope</t>
  </si>
  <si>
    <t>intercept</t>
  </si>
  <si>
    <t>PLATE 2 (12/12/2025)</t>
  </si>
  <si>
    <t>LIVER</t>
  </si>
  <si>
    <t>KIDNEY</t>
  </si>
  <si>
    <t>BM</t>
  </si>
  <si>
    <t>GM</t>
  </si>
  <si>
    <t xml:space="preserve">GM </t>
  </si>
  <si>
    <t>mean</t>
  </si>
  <si>
    <t>dev.st</t>
  </si>
  <si>
    <t>STAT</t>
  </si>
  <si>
    <t>SOD activity liver</t>
  </si>
  <si>
    <t>decrease %</t>
  </si>
  <si>
    <t>Comparison</t>
  </si>
  <si>
    <t>Medium polluted</t>
  </si>
  <si>
    <t>Highly polluted</t>
  </si>
  <si>
    <t>normalized SOD</t>
  </si>
  <si>
    <t>Abs</t>
  </si>
  <si>
    <t>Abs - blank</t>
  </si>
  <si>
    <t>SOD conc. (units/mL standard)</t>
  </si>
  <si>
    <t>SOD conc (units/mL standard)</t>
  </si>
  <si>
    <t>P-VALUE</t>
  </si>
  <si>
    <t>ST 7</t>
  </si>
  <si>
    <t>ST 6</t>
  </si>
  <si>
    <t>ST 5</t>
  </si>
  <si>
    <t>ST 4</t>
  </si>
  <si>
    <t>ST 3</t>
  </si>
  <si>
    <t>ST 2</t>
  </si>
  <si>
    <t>ST 1</t>
  </si>
  <si>
    <t>y</t>
  </si>
  <si>
    <t>replicates average</t>
  </si>
  <si>
    <t>conc (µmol/L or nmol/mL)</t>
  </si>
  <si>
    <t>mean - BLANK</t>
  </si>
  <si>
    <t>y=mx+q</t>
  </si>
  <si>
    <t>q</t>
  </si>
  <si>
    <t>dilution factor</t>
  </si>
  <si>
    <t>well tot. vol./sample vol.</t>
  </si>
  <si>
    <t>Chl-T eq (µmol/L or nmol/mL)</t>
  </si>
  <si>
    <r>
      <t>x</t>
    </r>
    <r>
      <rPr>
        <sz val="10"/>
        <rFont val="Arial"/>
        <family val="2"/>
      </rPr>
      <t>=(y−q​)/m</t>
    </r>
  </si>
  <si>
    <t>X * dilution factor</t>
  </si>
  <si>
    <t>MEAN</t>
  </si>
  <si>
    <t>ST.DEV.</t>
  </si>
  <si>
    <t>N</t>
  </si>
  <si>
    <t>Statistic</t>
  </si>
  <si>
    <t>Proteins normalisation</t>
  </si>
  <si>
    <t>liver AOPP</t>
  </si>
  <si>
    <t>Standard curve</t>
  </si>
  <si>
    <t>PROTEINS</t>
  </si>
  <si>
    <t>mg/mL proteins</t>
  </si>
  <si>
    <t>MDA standard</t>
  </si>
  <si>
    <t>MDA standard 1</t>
  </si>
  <si>
    <t>MDA standard 2</t>
  </si>
  <si>
    <t>MDA standard 3</t>
  </si>
  <si>
    <t>MDA standard 4</t>
  </si>
  <si>
    <t>MDA standard 5</t>
  </si>
  <si>
    <t>MDA standard 6</t>
  </si>
  <si>
    <t>MDA standard 7</t>
  </si>
  <si>
    <t>MDA standard 8</t>
  </si>
  <si>
    <t>Calculations:</t>
  </si>
  <si>
    <t>Replicates Mean</t>
  </si>
  <si>
    <t>Replicates Mean - BLANK</t>
  </si>
  <si>
    <r>
      <t>MDA concentration (</t>
    </r>
    <r>
      <rPr>
        <b/>
        <sz val="10"/>
        <rFont val="Aptos Narrow"/>
        <family val="2"/>
      </rPr>
      <t>µ</t>
    </r>
    <r>
      <rPr>
        <b/>
        <sz val="10"/>
        <rFont val="Arial"/>
        <family val="2"/>
      </rPr>
      <t>M)</t>
    </r>
  </si>
  <si>
    <t>y=bx+a</t>
  </si>
  <si>
    <t>a</t>
  </si>
  <si>
    <t>nmol MDA determined from standard curve</t>
  </si>
  <si>
    <t>Dilution 1:5</t>
  </si>
  <si>
    <t>DF = 5</t>
  </si>
  <si>
    <t>MDA (nmol/mL) = x * DF</t>
  </si>
  <si>
    <t>mg prot/mL</t>
  </si>
  <si>
    <t xml:space="preserve">MDA (nmol)/mg prot </t>
  </si>
  <si>
    <t>MEDIA</t>
  </si>
  <si>
    <t>DEV.ST.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</si>
</sst>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"/>
    <numFmt numFmtId="166" formatCode="0.0000"/>
    <numFmt numFmtId="167" formatCode="0.000000"/>
    <numFmt numFmtId="169" formatCode="0.00000000"/>
    <numFmt numFmtId="174" formatCode="0.00000"/>
  </numFmts>
  <fonts count="5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3" tint="-0.249977111117893"/>
      <name val="Calibri"/>
      <family val="2"/>
      <scheme val="minor"/>
    </font>
    <font>
      <b/>
      <sz val="10"/>
      <color theme="0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27413E"/>
      <name val="Arial"/>
      <family val="2"/>
    </font>
    <font>
      <sz val="7"/>
      <color rgb="FF000000"/>
      <name val="Arial"/>
      <family val="2"/>
    </font>
    <font>
      <sz val="10"/>
      <color theme="0"/>
      <name val="Arial"/>
      <family val="2"/>
    </font>
    <font>
      <sz val="10"/>
      <name val="Arial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/>
      <name val="Aptos Narrow"/>
      <family val="2"/>
    </font>
    <font>
      <b/>
      <sz val="11"/>
      <color theme="1"/>
      <name val="Aptos Narrow"/>
      <family val="2"/>
    </font>
    <font>
      <b/>
      <sz val="8.8000000000000007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trike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FFFF"/>
      <name val="Calibri"/>
      <family val="2"/>
      <scheme val="minor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10"/>
      <color theme="0" tint="-0.14999847407452621"/>
      <name val="Arial"/>
      <family val="2"/>
    </font>
    <font>
      <b/>
      <sz val="11"/>
      <color rgb="FF000000"/>
      <name val="Aptos Narrow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1"/>
      <color rgb="FF000000"/>
      <name val="Aptos Narrow"/>
      <family val="2"/>
    </font>
    <font>
      <strike/>
      <sz val="10"/>
      <name val="Arial"/>
      <family val="2"/>
    </font>
    <font>
      <b/>
      <sz val="11"/>
      <color theme="0"/>
      <name val="Aptos Narrow"/>
      <family val="2"/>
    </font>
    <font>
      <b/>
      <sz val="10"/>
      <name val="Aptos Narrow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FF7C80"/>
        <bgColor rgb="FF000000"/>
      </patternFill>
    </fill>
    <fill>
      <patternFill patternType="solid">
        <fgColor rgb="FF66CCFF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8" fillId="0" borderId="0"/>
    <xf numFmtId="0" fontId="22" fillId="0" borderId="0"/>
    <xf numFmtId="9" fontId="32" fillId="0" borderId="0" applyFont="0" applyFill="0" applyBorder="0" applyAlignment="0" applyProtection="0"/>
    <xf numFmtId="0" fontId="22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</cellStyleXfs>
  <cellXfs count="698">
    <xf numFmtId="0" fontId="0" fillId="0" borderId="0" xfId="0"/>
    <xf numFmtId="0" fontId="0" fillId="0" borderId="15" xfId="0" applyBorder="1"/>
    <xf numFmtId="2" fontId="0" fillId="0" borderId="0" xfId="0" applyNumberFormat="1"/>
    <xf numFmtId="0" fontId="0" fillId="0" borderId="0" xfId="0" applyAlignment="1">
      <alignment vertical="center"/>
    </xf>
    <xf numFmtId="0" fontId="0" fillId="0" borderId="13" xfId="0" applyBorder="1"/>
    <xf numFmtId="0" fontId="0" fillId="0" borderId="20" xfId="0" applyBorder="1"/>
    <xf numFmtId="164" fontId="0" fillId="0" borderId="0" xfId="0" applyNumberFormat="1"/>
    <xf numFmtId="0" fontId="1" fillId="0" borderId="0" xfId="0" applyFont="1"/>
    <xf numFmtId="2" fontId="0" fillId="3" borderId="19" xfId="0" applyNumberFormat="1" applyFill="1" applyBorder="1"/>
    <xf numFmtId="2" fontId="0" fillId="3" borderId="3" xfId="0" applyNumberFormat="1" applyFill="1" applyBorder="1"/>
    <xf numFmtId="164" fontId="0" fillId="0" borderId="0" xfId="0" applyNumberFormat="1" applyAlignment="1">
      <alignment horizontal="center"/>
    </xf>
    <xf numFmtId="2" fontId="0" fillId="3" borderId="14" xfId="0" applyNumberFormat="1" applyFill="1" applyBorder="1"/>
    <xf numFmtId="2" fontId="0" fillId="3" borderId="4" xfId="0" applyNumberFormat="1" applyFill="1" applyBorder="1"/>
    <xf numFmtId="2" fontId="0" fillId="3" borderId="16" xfId="0" applyNumberFormat="1" applyFill="1" applyBorder="1"/>
    <xf numFmtId="2" fontId="0" fillId="3" borderId="5" xfId="0" applyNumberFormat="1" applyFill="1" applyBorder="1" applyAlignment="1">
      <alignment horizontal="right"/>
    </xf>
    <xf numFmtId="164" fontId="4" fillId="0" borderId="0" xfId="0" applyNumberFormat="1" applyFont="1" applyAlignment="1">
      <alignment horizontal="center" vertical="center" wrapText="1"/>
    </xf>
    <xf numFmtId="2" fontId="5" fillId="0" borderId="0" xfId="0" applyNumberFormat="1" applyFont="1"/>
    <xf numFmtId="164" fontId="0" fillId="0" borderId="4" xfId="0" applyNumberFormat="1" applyBorder="1"/>
    <xf numFmtId="2" fontId="0" fillId="0" borderId="2" xfId="0" applyNumberFormat="1" applyBorder="1"/>
    <xf numFmtId="164" fontId="0" fillId="0" borderId="3" xfId="0" applyNumberFormat="1" applyBorder="1"/>
    <xf numFmtId="164" fontId="7" fillId="0" borderId="0" xfId="0" applyNumberFormat="1" applyFont="1"/>
    <xf numFmtId="164" fontId="8" fillId="0" borderId="0" xfId="0" applyNumberFormat="1" applyFont="1"/>
    <xf numFmtId="2" fontId="0" fillId="3" borderId="2" xfId="0" applyNumberFormat="1" applyFill="1" applyBorder="1" applyAlignment="1">
      <alignment horizontal="right"/>
    </xf>
    <xf numFmtId="0" fontId="0" fillId="0" borderId="23" xfId="0" applyBorder="1"/>
    <xf numFmtId="0" fontId="0" fillId="0" borderId="25" xfId="0" applyBorder="1"/>
    <xf numFmtId="0" fontId="0" fillId="0" borderId="16" xfId="0" applyBorder="1"/>
    <xf numFmtId="0" fontId="0" fillId="0" borderId="6" xfId="0" applyBorder="1"/>
    <xf numFmtId="2" fontId="0" fillId="0" borderId="5" xfId="0" applyNumberFormat="1" applyBorder="1"/>
    <xf numFmtId="2" fontId="0" fillId="3" borderId="0" xfId="0" applyNumberFormat="1" applyFill="1" applyAlignment="1">
      <alignment horizontal="right"/>
    </xf>
    <xf numFmtId="1" fontId="0" fillId="3" borderId="5" xfId="0" applyNumberFormat="1" applyFill="1" applyBorder="1"/>
    <xf numFmtId="164" fontId="0" fillId="3" borderId="6" xfId="0" applyNumberFormat="1" applyFill="1" applyBorder="1"/>
    <xf numFmtId="0" fontId="11" fillId="0" borderId="0" xfId="0" applyFont="1"/>
    <xf numFmtId="164" fontId="11" fillId="0" borderId="0" xfId="0" applyNumberFormat="1" applyFont="1"/>
    <xf numFmtId="1" fontId="9" fillId="3" borderId="2" xfId="0" applyNumberFormat="1" applyFont="1" applyFill="1" applyBorder="1"/>
    <xf numFmtId="165" fontId="9" fillId="3" borderId="0" xfId="0" applyNumberFormat="1" applyFont="1" applyFill="1"/>
    <xf numFmtId="165" fontId="9" fillId="3" borderId="0" xfId="0" applyNumberFormat="1" applyFont="1" applyFill="1" applyAlignment="1">
      <alignment horizontal="right"/>
    </xf>
    <xf numFmtId="166" fontId="1" fillId="4" borderId="0" xfId="0" applyNumberFormat="1" applyFont="1" applyFill="1" applyAlignment="1">
      <alignment horizontal="right"/>
    </xf>
    <xf numFmtId="0" fontId="6" fillId="2" borderId="12" xfId="0" applyFont="1" applyFill="1" applyBorder="1" applyAlignment="1">
      <alignment horizontal="center" vertical="center" wrapText="1"/>
    </xf>
    <xf numFmtId="2" fontId="2" fillId="2" borderId="18" xfId="0" applyNumberFormat="1" applyFont="1" applyFill="1" applyBorder="1"/>
    <xf numFmtId="164" fontId="2" fillId="2" borderId="17" xfId="0" applyNumberFormat="1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1" fontId="2" fillId="2" borderId="12" xfId="0" applyNumberFormat="1" applyFont="1" applyFill="1" applyBorder="1" applyAlignment="1">
      <alignment horizontal="center"/>
    </xf>
    <xf numFmtId="0" fontId="3" fillId="0" borderId="0" xfId="0" applyFont="1"/>
    <xf numFmtId="166" fontId="0" fillId="0" borderId="6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16" xfId="0" applyNumberFormat="1" applyBorder="1" applyAlignment="1">
      <alignment horizontal="left"/>
    </xf>
    <xf numFmtId="2" fontId="2" fillId="2" borderId="17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2" fontId="2" fillId="2" borderId="26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5" fillId="0" borderId="0" xfId="0" applyFont="1"/>
    <xf numFmtId="2" fontId="0" fillId="3" borderId="6" xfId="0" applyNumberFormat="1" applyFill="1" applyBorder="1"/>
    <xf numFmtId="166" fontId="1" fillId="4" borderId="5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26" xfId="0" applyFont="1" applyFill="1" applyBorder="1"/>
    <xf numFmtId="167" fontId="2" fillId="2" borderId="12" xfId="0" applyNumberFormat="1" applyFont="1" applyFill="1" applyBorder="1" applyAlignment="1">
      <alignment horizontal="center"/>
    </xf>
    <xf numFmtId="167" fontId="0" fillId="0" borderId="0" xfId="0" applyNumberFormat="1"/>
    <xf numFmtId="164" fontId="0" fillId="0" borderId="0" xfId="0" applyNumberFormat="1" applyAlignment="1">
      <alignment vertical="center"/>
    </xf>
    <xf numFmtId="0" fontId="0" fillId="3" borderId="19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14" xfId="0" applyFill="1" applyBorder="1"/>
    <xf numFmtId="0" fontId="0" fillId="3" borderId="0" xfId="0" applyFill="1"/>
    <xf numFmtId="0" fontId="0" fillId="3" borderId="4" xfId="0" applyFill="1" applyBorder="1"/>
    <xf numFmtId="0" fontId="0" fillId="3" borderId="16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2" fontId="0" fillId="3" borderId="5" xfId="0" applyNumberFormat="1" applyFill="1" applyBorder="1"/>
    <xf numFmtId="166" fontId="2" fillId="4" borderId="0" xfId="0" applyNumberFormat="1" applyFont="1" applyFill="1" applyAlignment="1">
      <alignment horizontal="right"/>
    </xf>
    <xf numFmtId="2" fontId="2" fillId="0" borderId="0" xfId="0" applyNumberFormat="1" applyFont="1"/>
    <xf numFmtId="2" fontId="14" fillId="0" borderId="0" xfId="0" applyNumberFormat="1" applyFont="1"/>
    <xf numFmtId="164" fontId="5" fillId="0" borderId="0" xfId="0" applyNumberFormat="1" applyFont="1"/>
    <xf numFmtId="0" fontId="15" fillId="0" borderId="0" xfId="0" applyFont="1"/>
    <xf numFmtId="166" fontId="2" fillId="2" borderId="2" xfId="0" applyNumberFormat="1" applyFont="1" applyFill="1" applyBorder="1" applyAlignment="1">
      <alignment horizontal="center"/>
    </xf>
    <xf numFmtId="166" fontId="2" fillId="2" borderId="18" xfId="0" applyNumberFormat="1" applyFont="1" applyFill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6" fontId="0" fillId="0" borderId="32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/>
    </xf>
    <xf numFmtId="164" fontId="0" fillId="0" borderId="33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2" fillId="2" borderId="18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horizontal="center"/>
    </xf>
    <xf numFmtId="1" fontId="2" fillId="2" borderId="7" xfId="0" applyNumberFormat="1" applyFont="1" applyFill="1" applyBorder="1" applyAlignment="1">
      <alignment horizontal="center"/>
    </xf>
    <xf numFmtId="2" fontId="0" fillId="6" borderId="8" xfId="0" applyNumberFormat="1" applyFill="1" applyBorder="1" applyAlignment="1">
      <alignment horizontal="center"/>
    </xf>
    <xf numFmtId="2" fontId="0" fillId="6" borderId="9" xfId="0" applyNumberFormat="1" applyFill="1" applyBorder="1" applyAlignment="1">
      <alignment horizontal="center"/>
    </xf>
    <xf numFmtId="164" fontId="0" fillId="5" borderId="8" xfId="0" applyNumberForma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0" fontId="2" fillId="2" borderId="19" xfId="0" applyFont="1" applyFill="1" applyBorder="1"/>
    <xf numFmtId="0" fontId="4" fillId="0" borderId="0" xfId="0" applyFont="1" applyAlignment="1">
      <alignment horizontal="center" vertical="center" wrapText="1"/>
    </xf>
    <xf numFmtId="167" fontId="2" fillId="2" borderId="7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2" fillId="2" borderId="19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" fontId="0" fillId="6" borderId="7" xfId="0" applyNumberFormat="1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1" fontId="0" fillId="6" borderId="8" xfId="0" applyNumberFormat="1" applyFill="1" applyBorder="1" applyAlignment="1">
      <alignment horizontal="center"/>
    </xf>
    <xf numFmtId="1" fontId="0" fillId="6" borderId="9" xfId="0" applyNumberFormat="1" applyFill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4" fillId="0" borderId="36" xfId="2" applyFont="1" applyBorder="1" applyAlignment="1">
      <alignment horizontal="center" vertical="center" wrapText="1"/>
    </xf>
    <xf numFmtId="0" fontId="22" fillId="0" borderId="0" xfId="2"/>
    <xf numFmtId="0" fontId="2" fillId="0" borderId="0" xfId="0" applyFont="1" applyAlignment="1">
      <alignment vertical="center"/>
    </xf>
    <xf numFmtId="164" fontId="9" fillId="0" borderId="0" xfId="0" applyNumberFormat="1" applyFont="1"/>
    <xf numFmtId="0" fontId="2" fillId="2" borderId="7" xfId="0" applyFont="1" applyFill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167" fontId="0" fillId="0" borderId="2" xfId="0" applyNumberFormat="1" applyBorder="1"/>
    <xf numFmtId="164" fontId="0" fillId="0" borderId="5" xfId="0" applyNumberFormat="1" applyBorder="1"/>
    <xf numFmtId="167" fontId="0" fillId="0" borderId="5" xfId="0" applyNumberFormat="1" applyBorder="1"/>
    <xf numFmtId="0" fontId="4" fillId="0" borderId="37" xfId="2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67" fontId="0" fillId="0" borderId="2" xfId="0" applyNumberForma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0" fontId="21" fillId="4" borderId="36" xfId="0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166" fontId="0" fillId="0" borderId="2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2" fillId="2" borderId="7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2" fillId="7" borderId="0" xfId="2" applyFill="1"/>
    <xf numFmtId="164" fontId="2" fillId="2" borderId="0" xfId="0" applyNumberFormat="1" applyFont="1" applyFill="1" applyAlignment="1">
      <alignment horizontal="center"/>
    </xf>
    <xf numFmtId="166" fontId="0" fillId="0" borderId="0" xfId="0" applyNumberFormat="1"/>
    <xf numFmtId="2" fontId="0" fillId="3" borderId="0" xfId="0" applyNumberFormat="1" applyFill="1"/>
    <xf numFmtId="2" fontId="2" fillId="2" borderId="2" xfId="0" applyNumberFormat="1" applyFont="1" applyFill="1" applyBorder="1"/>
    <xf numFmtId="164" fontId="2" fillId="2" borderId="3" xfId="0" applyNumberFormat="1" applyFont="1" applyFill="1" applyBorder="1"/>
    <xf numFmtId="2" fontId="0" fillId="0" borderId="19" xfId="0" applyNumberFormat="1" applyBorder="1"/>
    <xf numFmtId="2" fontId="0" fillId="0" borderId="14" xfId="0" applyNumberFormat="1" applyBorder="1"/>
    <xf numFmtId="2" fontId="0" fillId="0" borderId="16" xfId="0" applyNumberFormat="1" applyBorder="1"/>
    <xf numFmtId="164" fontId="0" fillId="0" borderId="6" xfId="0" applyNumberFormat="1" applyBorder="1"/>
    <xf numFmtId="0" fontId="4" fillId="3" borderId="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4" fillId="0" borderId="38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166" fontId="0" fillId="0" borderId="0" xfId="0" applyNumberFormat="1" applyAlignment="1">
      <alignment vertical="center"/>
    </xf>
    <xf numFmtId="0" fontId="0" fillId="0" borderId="2" xfId="0" applyBorder="1" applyAlignment="1">
      <alignment horizontal="center"/>
    </xf>
    <xf numFmtId="0" fontId="4" fillId="0" borderId="39" xfId="2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0" fontId="17" fillId="0" borderId="0" xfId="0" applyFont="1"/>
    <xf numFmtId="0" fontId="2" fillId="2" borderId="26" xfId="0" applyFont="1" applyFill="1" applyBorder="1" applyAlignment="1">
      <alignment horizontal="center"/>
    </xf>
    <xf numFmtId="0" fontId="0" fillId="0" borderId="19" xfId="0" applyBorder="1"/>
    <xf numFmtId="0" fontId="0" fillId="0" borderId="14" xfId="0" applyBorder="1"/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5" xfId="0" applyNumberFormat="1" applyBorder="1" applyAlignment="1">
      <alignment horizontal="center"/>
    </xf>
    <xf numFmtId="0" fontId="22" fillId="0" borderId="19" xfId="2" applyBorder="1"/>
    <xf numFmtId="0" fontId="22" fillId="0" borderId="2" xfId="2" applyBorder="1"/>
    <xf numFmtId="0" fontId="22" fillId="0" borderId="14" xfId="2" applyBorder="1"/>
    <xf numFmtId="0" fontId="22" fillId="0" borderId="16" xfId="2" applyBorder="1"/>
    <xf numFmtId="0" fontId="22" fillId="0" borderId="5" xfId="2" applyBorder="1"/>
    <xf numFmtId="169" fontId="0" fillId="0" borderId="2" xfId="0" applyNumberFormat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2" fontId="2" fillId="2" borderId="26" xfId="0" applyNumberFormat="1" applyFont="1" applyFill="1" applyBorder="1"/>
    <xf numFmtId="0" fontId="17" fillId="0" borderId="42" xfId="0" applyFont="1" applyBorder="1"/>
    <xf numFmtId="164" fontId="2" fillId="2" borderId="19" xfId="0" applyNumberFormat="1" applyFont="1" applyFill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7" borderId="0" xfId="0" applyFill="1"/>
    <xf numFmtId="166" fontId="0" fillId="0" borderId="16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0" fontId="0" fillId="0" borderId="16" xfId="0" applyBorder="1" applyAlignment="1">
      <alignment horizontal="center" vertical="center"/>
    </xf>
    <xf numFmtId="1" fontId="26" fillId="0" borderId="0" xfId="0" applyNumberFormat="1" applyFont="1" applyAlignment="1">
      <alignment horizontal="center" vertical="center" wrapText="1"/>
    </xf>
    <xf numFmtId="0" fontId="28" fillId="2" borderId="12" xfId="0" applyFont="1" applyFill="1" applyBorder="1" applyAlignment="1">
      <alignment horizontal="center"/>
    </xf>
    <xf numFmtId="1" fontId="17" fillId="6" borderId="8" xfId="0" applyNumberFormat="1" applyFont="1" applyFill="1" applyBorder="1" applyAlignment="1">
      <alignment horizontal="center"/>
    </xf>
    <xf numFmtId="1" fontId="17" fillId="6" borderId="9" xfId="0" applyNumberFormat="1" applyFont="1" applyFill="1" applyBorder="1" applyAlignment="1">
      <alignment horizontal="center"/>
    </xf>
    <xf numFmtId="0" fontId="17" fillId="0" borderId="19" xfId="0" applyFont="1" applyBorder="1"/>
    <xf numFmtId="0" fontId="0" fillId="0" borderId="3" xfId="0" applyBorder="1"/>
    <xf numFmtId="0" fontId="17" fillId="0" borderId="6" xfId="0" applyFont="1" applyBorder="1" applyAlignment="1">
      <alignment horizontal="center" vertical="center" wrapText="1"/>
    </xf>
    <xf numFmtId="0" fontId="0" fillId="0" borderId="42" xfId="0" applyBorder="1" applyAlignment="1">
      <alignment horizontal="center"/>
    </xf>
    <xf numFmtId="0" fontId="0" fillId="0" borderId="43" xfId="0" applyBorder="1"/>
    <xf numFmtId="0" fontId="4" fillId="0" borderId="40" xfId="2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1" fontId="17" fillId="6" borderId="7" xfId="0" applyNumberFormat="1" applyFont="1" applyFill="1" applyBorder="1" applyAlignment="1">
      <alignment horizontal="center"/>
    </xf>
    <xf numFmtId="0" fontId="26" fillId="0" borderId="0" xfId="0" applyFont="1"/>
    <xf numFmtId="1" fontId="25" fillId="0" borderId="0" xfId="0" applyNumberFormat="1" applyFont="1" applyAlignment="1">
      <alignment horizontal="left"/>
    </xf>
    <xf numFmtId="166" fontId="17" fillId="0" borderId="42" xfId="0" applyNumberFormat="1" applyFont="1" applyBorder="1"/>
    <xf numFmtId="9" fontId="0" fillId="0" borderId="0" xfId="3" applyFont="1"/>
    <xf numFmtId="0" fontId="33" fillId="0" borderId="42" xfId="0" applyFont="1" applyBorder="1" applyAlignment="1">
      <alignment horizontal="center"/>
    </xf>
    <xf numFmtId="11" fontId="0" fillId="0" borderId="0" xfId="0" applyNumberFormat="1"/>
    <xf numFmtId="11" fontId="0" fillId="7" borderId="0" xfId="0" applyNumberFormat="1" applyFill="1"/>
    <xf numFmtId="9" fontId="17" fillId="0" borderId="0" xfId="3" applyFont="1"/>
    <xf numFmtId="0" fontId="34" fillId="0" borderId="0" xfId="0" applyFont="1"/>
    <xf numFmtId="164" fontId="34" fillId="0" borderId="0" xfId="0" applyNumberFormat="1" applyFont="1"/>
    <xf numFmtId="164" fontId="34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2" fontId="2" fillId="2" borderId="26" xfId="0" applyNumberFormat="1" applyFont="1" applyFill="1" applyBorder="1" applyAlignment="1">
      <alignment horizontal="center"/>
    </xf>
    <xf numFmtId="2" fontId="2" fillId="2" borderId="18" xfId="0" applyNumberFormat="1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center"/>
    </xf>
    <xf numFmtId="166" fontId="0" fillId="0" borderId="2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Border="1"/>
    <xf numFmtId="164" fontId="0" fillId="0" borderId="0" xfId="0" applyNumberFormat="1" applyBorder="1" applyAlignment="1">
      <alignment horizontal="center" vertic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" fontId="17" fillId="0" borderId="0" xfId="0" applyNumberFormat="1" applyFont="1" applyFill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22" fillId="0" borderId="0" xfId="2" applyBorder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0" fontId="22" fillId="0" borderId="0" xfId="2" applyFill="1" applyBorder="1"/>
    <xf numFmtId="1" fontId="26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/>
    </xf>
    <xf numFmtId="166" fontId="0" fillId="0" borderId="0" xfId="0" applyNumberFormat="1" applyFill="1" applyBorder="1" applyAlignment="1">
      <alignment horizontal="left"/>
    </xf>
    <xf numFmtId="0" fontId="0" fillId="0" borderId="0" xfId="0" applyFill="1" applyBorder="1" applyAlignment="1"/>
    <xf numFmtId="2" fontId="2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2" fontId="0" fillId="0" borderId="16" xfId="0" applyNumberFormat="1" applyFill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/>
    </xf>
    <xf numFmtId="164" fontId="2" fillId="2" borderId="18" xfId="0" applyNumberFormat="1" applyFont="1" applyFill="1" applyBorder="1"/>
    <xf numFmtId="2" fontId="2" fillId="0" borderId="0" xfId="0" applyNumberFormat="1" applyFont="1" applyFill="1" applyBorder="1"/>
    <xf numFmtId="164" fontId="2" fillId="0" borderId="0" xfId="0" applyNumberFormat="1" applyFont="1" applyFill="1" applyBorder="1"/>
    <xf numFmtId="166" fontId="1" fillId="0" borderId="5" xfId="0" applyNumberFormat="1" applyFont="1" applyFill="1" applyBorder="1" applyAlignment="1">
      <alignment horizontal="right"/>
    </xf>
    <xf numFmtId="0" fontId="0" fillId="0" borderId="14" xfId="0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166" fontId="0" fillId="0" borderId="0" xfId="0" applyNumberFormat="1" applyBorder="1" applyAlignment="1">
      <alignment horizontal="center"/>
    </xf>
    <xf numFmtId="169" fontId="0" fillId="0" borderId="0" xfId="0" applyNumberForma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2" fillId="10" borderId="10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2" fontId="2" fillId="12" borderId="7" xfId="0" applyNumberFormat="1" applyFont="1" applyFill="1" applyBorder="1" applyAlignment="1">
      <alignment horizontal="center" vertical="center"/>
    </xf>
    <xf numFmtId="0" fontId="2" fillId="11" borderId="9" xfId="0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2" fillId="10" borderId="9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32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2" fillId="10" borderId="19" xfId="0" applyFont="1" applyFill="1" applyBorder="1" applyAlignment="1">
      <alignment horizontal="center" vertical="center"/>
    </xf>
    <xf numFmtId="2" fontId="2" fillId="12" borderId="19" xfId="0" applyNumberFormat="1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8" xfId="0" applyNumberFormat="1" applyFill="1" applyBorder="1" applyAlignment="1">
      <alignment horizontal="center" vertical="center"/>
    </xf>
    <xf numFmtId="2" fontId="0" fillId="0" borderId="9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Border="1"/>
    <xf numFmtId="167" fontId="0" fillId="0" borderId="0" xfId="0" applyNumberFormat="1" applyFill="1" applyBorder="1"/>
    <xf numFmtId="0" fontId="0" fillId="0" borderId="0" xfId="0" applyAlignment="1"/>
    <xf numFmtId="0" fontId="0" fillId="0" borderId="4" xfId="0" applyBorder="1"/>
    <xf numFmtId="0" fontId="4" fillId="3" borderId="0" xfId="2" applyFont="1" applyFill="1" applyBorder="1" applyAlignment="1">
      <alignment horizontal="center" vertical="center" wrapText="1"/>
    </xf>
    <xf numFmtId="167" fontId="0" fillId="0" borderId="0" xfId="0" applyNumberFormat="1" applyBorder="1"/>
    <xf numFmtId="2" fontId="0" fillId="0" borderId="0" xfId="0" applyNumberFormat="1" applyBorder="1" applyAlignment="1">
      <alignment horizontal="center" vertical="center"/>
    </xf>
    <xf numFmtId="166" fontId="0" fillId="0" borderId="0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4" fontId="0" fillId="0" borderId="23" xfId="0" applyNumberForma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22" fillId="0" borderId="0" xfId="2" applyFill="1" applyBorder="1" applyAlignment="1">
      <alignment vertical="center" wrapText="1"/>
    </xf>
    <xf numFmtId="0" fontId="19" fillId="0" borderId="0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center" wrapText="1"/>
    </xf>
    <xf numFmtId="0" fontId="4" fillId="0" borderId="37" xfId="2" applyFont="1" applyFill="1" applyBorder="1" applyAlignment="1">
      <alignment horizontal="center" vertical="center" wrapText="1"/>
    </xf>
    <xf numFmtId="0" fontId="4" fillId="0" borderId="41" xfId="2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 vertical="center"/>
    </xf>
    <xf numFmtId="166" fontId="0" fillId="0" borderId="16" xfId="0" applyNumberFormat="1" applyFill="1" applyBorder="1" applyAlignment="1">
      <alignment horizontal="left"/>
    </xf>
    <xf numFmtId="166" fontId="0" fillId="0" borderId="9" xfId="0" applyNumberFormat="1" applyFill="1" applyBorder="1" applyAlignment="1">
      <alignment horizontal="left"/>
    </xf>
    <xf numFmtId="166" fontId="0" fillId="0" borderId="6" xfId="0" applyNumberFormat="1" applyFill="1" applyBorder="1" applyAlignment="1">
      <alignment horizontal="left"/>
    </xf>
    <xf numFmtId="1" fontId="17" fillId="0" borderId="5" xfId="0" applyNumberFormat="1" applyFont="1" applyFill="1" applyBorder="1" applyAlignment="1">
      <alignment horizontal="center"/>
    </xf>
    <xf numFmtId="2" fontId="0" fillId="0" borderId="4" xfId="0" applyNumberFormat="1" applyBorder="1"/>
    <xf numFmtId="2" fontId="0" fillId="0" borderId="6" xfId="0" applyNumberFormat="1" applyBorder="1"/>
    <xf numFmtId="2" fontId="0" fillId="0" borderId="2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5" xfId="0" applyNumberFormat="1" applyFont="1" applyBorder="1" applyAlignment="1">
      <alignment horizontal="center"/>
    </xf>
    <xf numFmtId="2" fontId="0" fillId="0" borderId="2" xfId="0" applyNumberFormat="1" applyFont="1" applyBorder="1"/>
    <xf numFmtId="2" fontId="0" fillId="0" borderId="0" xfId="0" applyNumberFormat="1" applyFont="1" applyBorder="1"/>
    <xf numFmtId="2" fontId="0" fillId="0" borderId="5" xfId="0" applyNumberFormat="1" applyFont="1" applyBorder="1"/>
    <xf numFmtId="2" fontId="0" fillId="0" borderId="0" xfId="0" applyNumberFormat="1" applyFont="1"/>
    <xf numFmtId="164" fontId="0" fillId="0" borderId="2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" fontId="27" fillId="0" borderId="0" xfId="0" applyNumberFormat="1" applyFont="1" applyFill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0" fillId="0" borderId="14" xfId="0" applyNumberFormat="1" applyFill="1" applyBorder="1"/>
    <xf numFmtId="164" fontId="0" fillId="0" borderId="4" xfId="0" applyNumberFormat="1" applyFill="1" applyBorder="1"/>
    <xf numFmtId="2" fontId="0" fillId="0" borderId="16" xfId="0" applyNumberFormat="1" applyFill="1" applyBorder="1"/>
    <xf numFmtId="164" fontId="0" fillId="0" borderId="6" xfId="0" applyNumberFormat="1" applyFill="1" applyBorder="1"/>
    <xf numFmtId="1" fontId="2" fillId="11" borderId="2" xfId="0" applyNumberFormat="1" applyFont="1" applyFill="1" applyBorder="1" applyAlignment="1">
      <alignment horizontal="center"/>
    </xf>
    <xf numFmtId="0" fontId="18" fillId="0" borderId="0" xfId="5"/>
    <xf numFmtId="164" fontId="18" fillId="0" borderId="0" xfId="5" applyNumberFormat="1"/>
    <xf numFmtId="2" fontId="18" fillId="0" borderId="0" xfId="5" applyNumberFormat="1"/>
    <xf numFmtId="0" fontId="3" fillId="0" borderId="0" xfId="5" applyFont="1"/>
    <xf numFmtId="0" fontId="33" fillId="14" borderId="0" xfId="5" applyFont="1" applyFill="1" applyAlignment="1">
      <alignment horizontal="center" vertical="center"/>
    </xf>
    <xf numFmtId="0" fontId="18" fillId="0" borderId="0" xfId="5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33" fillId="0" borderId="0" xfId="5" applyFont="1" applyAlignment="1">
      <alignment horizontal="center" vertical="center" wrapText="1"/>
    </xf>
    <xf numFmtId="0" fontId="37" fillId="15" borderId="0" xfId="5" applyFont="1" applyFill="1"/>
    <xf numFmtId="0" fontId="18" fillId="13" borderId="44" xfId="5" applyFill="1" applyBorder="1" applyAlignment="1">
      <alignment horizontal="center"/>
    </xf>
    <xf numFmtId="174" fontId="18" fillId="0" borderId="45" xfId="5" applyNumberFormat="1" applyBorder="1"/>
    <xf numFmtId="166" fontId="18" fillId="0" borderId="45" xfId="5" applyNumberFormat="1" applyBorder="1"/>
    <xf numFmtId="166" fontId="18" fillId="8" borderId="45" xfId="5" applyNumberFormat="1" applyFill="1" applyBorder="1"/>
    <xf numFmtId="0" fontId="18" fillId="0" borderId="45" xfId="5" applyBorder="1"/>
    <xf numFmtId="164" fontId="18" fillId="0" borderId="45" xfId="5" applyNumberFormat="1" applyBorder="1"/>
    <xf numFmtId="2" fontId="18" fillId="16" borderId="31" xfId="5" applyNumberFormat="1" applyFill="1" applyBorder="1"/>
    <xf numFmtId="0" fontId="18" fillId="0" borderId="46" xfId="5" applyBorder="1"/>
    <xf numFmtId="0" fontId="18" fillId="0" borderId="47" xfId="5" applyBorder="1"/>
    <xf numFmtId="0" fontId="18" fillId="0" borderId="44" xfId="5" applyBorder="1"/>
    <xf numFmtId="0" fontId="18" fillId="0" borderId="28" xfId="5" applyBorder="1"/>
    <xf numFmtId="164" fontId="33" fillId="0" borderId="0" xfId="5" applyNumberFormat="1" applyFont="1" applyAlignment="1">
      <alignment horizontal="center" vertical="center"/>
    </xf>
    <xf numFmtId="0" fontId="18" fillId="13" borderId="48" xfId="5" applyFill="1" applyBorder="1" applyAlignment="1">
      <alignment horizontal="center"/>
    </xf>
    <xf numFmtId="174" fontId="18" fillId="0" borderId="0" xfId="5" applyNumberFormat="1"/>
    <xf numFmtId="166" fontId="18" fillId="8" borderId="0" xfId="5" applyNumberFormat="1" applyFill="1"/>
    <xf numFmtId="2" fontId="18" fillId="16" borderId="49" xfId="5" applyNumberFormat="1" applyFill="1" applyBorder="1"/>
    <xf numFmtId="0" fontId="18" fillId="0" borderId="50" xfId="5" applyBorder="1"/>
    <xf numFmtId="0" fontId="18" fillId="0" borderId="42" xfId="5" applyBorder="1"/>
    <xf numFmtId="0" fontId="18" fillId="0" borderId="30" xfId="5" applyBorder="1"/>
    <xf numFmtId="0" fontId="18" fillId="0" borderId="49" xfId="5" applyBorder="1"/>
    <xf numFmtId="164" fontId="33" fillId="0" borderId="0" xfId="5" applyNumberFormat="1" applyFont="1" applyAlignment="1">
      <alignment horizontal="center" vertical="center" wrapText="1"/>
    </xf>
    <xf numFmtId="0" fontId="18" fillId="0" borderId="48" xfId="5" applyBorder="1"/>
    <xf numFmtId="0" fontId="38" fillId="13" borderId="48" xfId="5" applyFont="1" applyFill="1" applyBorder="1" applyAlignment="1">
      <alignment horizontal="center"/>
    </xf>
    <xf numFmtId="0" fontId="18" fillId="17" borderId="42" xfId="5" applyFill="1" applyBorder="1"/>
    <xf numFmtId="0" fontId="18" fillId="17" borderId="30" xfId="5" applyFill="1" applyBorder="1"/>
    <xf numFmtId="0" fontId="18" fillId="13" borderId="50" xfId="5" applyFill="1" applyBorder="1" applyAlignment="1">
      <alignment horizontal="center"/>
    </xf>
    <xf numFmtId="174" fontId="18" fillId="0" borderId="42" xfId="5" applyNumberFormat="1" applyBorder="1"/>
    <xf numFmtId="166" fontId="18" fillId="8" borderId="42" xfId="5" applyNumberFormat="1" applyFill="1" applyBorder="1"/>
    <xf numFmtId="164" fontId="18" fillId="0" borderId="42" xfId="5" applyNumberFormat="1" applyBorder="1"/>
    <xf numFmtId="2" fontId="18" fillId="16" borderId="30" xfId="5" applyNumberFormat="1" applyFill="1" applyBorder="1"/>
    <xf numFmtId="0" fontId="37" fillId="0" borderId="0" xfId="5" applyFont="1"/>
    <xf numFmtId="0" fontId="39" fillId="0" borderId="0" xfId="5" applyFont="1"/>
    <xf numFmtId="0" fontId="18" fillId="18" borderId="44" xfId="5" applyFill="1" applyBorder="1" applyAlignment="1">
      <alignment horizontal="center"/>
    </xf>
    <xf numFmtId="0" fontId="18" fillId="18" borderId="48" xfId="5" applyFill="1" applyBorder="1" applyAlignment="1">
      <alignment horizontal="center"/>
    </xf>
    <xf numFmtId="0" fontId="18" fillId="0" borderId="0" xfId="5" applyAlignment="1">
      <alignment horizontal="center"/>
    </xf>
    <xf numFmtId="0" fontId="18" fillId="0" borderId="0" xfId="5" applyAlignment="1">
      <alignment horizontal="center"/>
    </xf>
    <xf numFmtId="166" fontId="18" fillId="8" borderId="0" xfId="5" applyNumberFormat="1" applyFill="1" applyAlignment="1">
      <alignment horizontal="right"/>
    </xf>
    <xf numFmtId="174" fontId="36" fillId="0" borderId="0" xfId="5" applyNumberFormat="1" applyFont="1"/>
    <xf numFmtId="0" fontId="18" fillId="0" borderId="0" xfId="5" applyAlignment="1">
      <alignment vertical="center" wrapText="1"/>
    </xf>
    <xf numFmtId="0" fontId="18" fillId="18" borderId="50" xfId="5" applyFill="1" applyBorder="1" applyAlignment="1">
      <alignment horizontal="center"/>
    </xf>
    <xf numFmtId="174" fontId="36" fillId="0" borderId="42" xfId="5" applyNumberFormat="1" applyFont="1" applyBorder="1"/>
    <xf numFmtId="166" fontId="18" fillId="8" borderId="42" xfId="5" applyNumberFormat="1" applyFill="1" applyBorder="1" applyAlignment="1">
      <alignment horizontal="right"/>
    </xf>
    <xf numFmtId="0" fontId="18" fillId="17" borderId="0" xfId="5" applyFill="1" applyAlignment="1">
      <alignment horizontal="center"/>
    </xf>
    <xf numFmtId="2" fontId="38" fillId="14" borderId="44" xfId="5" applyNumberFormat="1" applyFont="1" applyFill="1" applyBorder="1" applyAlignment="1">
      <alignment horizontal="center"/>
    </xf>
    <xf numFmtId="174" fontId="36" fillId="0" borderId="45" xfId="5" applyNumberFormat="1" applyFont="1" applyBorder="1"/>
    <xf numFmtId="166" fontId="18" fillId="8" borderId="45" xfId="5" applyNumberFormat="1" applyFill="1" applyBorder="1" applyAlignment="1">
      <alignment horizontal="right"/>
    </xf>
    <xf numFmtId="2" fontId="38" fillId="14" borderId="48" xfId="5" applyNumberFormat="1" applyFont="1" applyFill="1" applyBorder="1" applyAlignment="1">
      <alignment horizontal="center"/>
    </xf>
    <xf numFmtId="0" fontId="18" fillId="8" borderId="0" xfId="5" applyFill="1" applyAlignment="1">
      <alignment horizontal="right"/>
    </xf>
    <xf numFmtId="0" fontId="18" fillId="0" borderId="0" xfId="5" quotePrefix="1" applyAlignment="1">
      <alignment horizontal="center" vertical="center"/>
    </xf>
    <xf numFmtId="2" fontId="18" fillId="14" borderId="48" xfId="5" applyNumberFormat="1" applyFill="1" applyBorder="1" applyAlignment="1">
      <alignment horizontal="center"/>
    </xf>
    <xf numFmtId="1" fontId="18" fillId="0" borderId="0" xfId="5" applyNumberFormat="1"/>
    <xf numFmtId="0" fontId="33" fillId="0" borderId="0" xfId="5" applyFont="1" applyAlignment="1">
      <alignment vertical="center"/>
    </xf>
    <xf numFmtId="0" fontId="18" fillId="0" borderId="0" xfId="5" applyAlignment="1">
      <alignment vertical="center"/>
    </xf>
    <xf numFmtId="0" fontId="33" fillId="0" borderId="0" xfId="5" applyFont="1" applyAlignment="1">
      <alignment horizontal="center" vertical="center"/>
    </xf>
    <xf numFmtId="0" fontId="33" fillId="0" borderId="0" xfId="5" applyFont="1" applyAlignment="1">
      <alignment horizontal="center" vertical="center" wrapText="1"/>
    </xf>
    <xf numFmtId="0" fontId="18" fillId="0" borderId="0" xfId="5" applyAlignment="1">
      <alignment horizontal="center" vertical="center" wrapText="1"/>
    </xf>
    <xf numFmtId="166" fontId="18" fillId="0" borderId="0" xfId="5" applyNumberFormat="1"/>
    <xf numFmtId="0" fontId="18" fillId="0" borderId="19" xfId="5" applyBorder="1" applyAlignment="1">
      <alignment horizontal="right"/>
    </xf>
    <xf numFmtId="0" fontId="18" fillId="0" borderId="3" xfId="5" applyBorder="1"/>
    <xf numFmtId="0" fontId="18" fillId="0" borderId="14" xfId="5" applyBorder="1" applyAlignment="1">
      <alignment horizontal="right"/>
    </xf>
    <xf numFmtId="0" fontId="18" fillId="0" borderId="4" xfId="5" applyBorder="1"/>
    <xf numFmtId="0" fontId="18" fillId="0" borderId="16" xfId="5" applyBorder="1" applyAlignment="1">
      <alignment horizontal="right"/>
    </xf>
    <xf numFmtId="0" fontId="18" fillId="0" borderId="6" xfId="5" applyBorder="1"/>
    <xf numFmtId="0" fontId="33" fillId="0" borderId="0" xfId="5" applyFont="1"/>
    <xf numFmtId="174" fontId="33" fillId="0" borderId="0" xfId="5" applyNumberFormat="1" applyFont="1" applyAlignment="1">
      <alignment horizontal="center" vertical="center" wrapText="1"/>
    </xf>
    <xf numFmtId="2" fontId="33" fillId="0" borderId="0" xfId="5" applyNumberFormat="1" applyFont="1" applyAlignment="1">
      <alignment horizontal="center" vertical="center" wrapText="1"/>
    </xf>
    <xf numFmtId="166" fontId="18" fillId="0" borderId="44" xfId="5" applyNumberFormat="1" applyBorder="1"/>
    <xf numFmtId="0" fontId="18" fillId="0" borderId="31" xfId="5" applyBorder="1"/>
    <xf numFmtId="0" fontId="18" fillId="19" borderId="0" xfId="5" applyFill="1" applyAlignment="1">
      <alignment horizontal="center"/>
    </xf>
    <xf numFmtId="166" fontId="18" fillId="0" borderId="50" xfId="5" applyNumberFormat="1" applyBorder="1"/>
    <xf numFmtId="0" fontId="18" fillId="5" borderId="48" xfId="5" applyFill="1" applyBorder="1" applyAlignment="1">
      <alignment horizontal="center"/>
    </xf>
    <xf numFmtId="166" fontId="18" fillId="0" borderId="46" xfId="5" applyNumberFormat="1" applyBorder="1"/>
    <xf numFmtId="0" fontId="18" fillId="19" borderId="0" xfId="5" applyFill="1"/>
    <xf numFmtId="0" fontId="18" fillId="0" borderId="45" xfId="5" applyBorder="1" applyAlignment="1">
      <alignment horizontal="center"/>
    </xf>
    <xf numFmtId="164" fontId="33" fillId="0" borderId="0" xfId="5" applyNumberFormat="1" applyFont="1" applyAlignment="1">
      <alignment horizontal="center" vertical="center" wrapText="1"/>
    </xf>
    <xf numFmtId="0" fontId="18" fillId="0" borderId="44" xfId="5" applyBorder="1" applyAlignment="1">
      <alignment horizontal="center"/>
    </xf>
    <xf numFmtId="0" fontId="18" fillId="0" borderId="31" xfId="5" applyBorder="1" applyAlignment="1">
      <alignment horizontal="center"/>
    </xf>
    <xf numFmtId="0" fontId="18" fillId="0" borderId="0" xfId="5" applyAlignment="1">
      <alignment horizontal="center" vertical="center"/>
    </xf>
    <xf numFmtId="0" fontId="18" fillId="0" borderId="0" xfId="5" applyAlignment="1">
      <alignment horizontal="center" vertical="center" wrapText="1"/>
    </xf>
    <xf numFmtId="0" fontId="18" fillId="0" borderId="48" xfId="5" applyBorder="1" applyAlignment="1">
      <alignment horizontal="center"/>
    </xf>
    <xf numFmtId="0" fontId="18" fillId="0" borderId="49" xfId="5" applyBorder="1" applyAlignment="1">
      <alignment horizontal="center"/>
    </xf>
    <xf numFmtId="0" fontId="18" fillId="0" borderId="50" xfId="5" applyBorder="1" applyAlignment="1">
      <alignment horizontal="center"/>
    </xf>
    <xf numFmtId="0" fontId="18" fillId="0" borderId="42" xfId="5" applyBorder="1" applyAlignment="1">
      <alignment horizontal="center"/>
    </xf>
    <xf numFmtId="0" fontId="18" fillId="0" borderId="30" xfId="5" applyBorder="1" applyAlignment="1">
      <alignment horizontal="center"/>
    </xf>
    <xf numFmtId="0" fontId="40" fillId="0" borderId="0" xfId="5" applyFont="1" applyAlignment="1">
      <alignment horizontal="center"/>
    </xf>
    <xf numFmtId="0" fontId="40" fillId="0" borderId="31" xfId="5" applyFont="1" applyBorder="1" applyAlignment="1">
      <alignment horizontal="center"/>
    </xf>
    <xf numFmtId="0" fontId="40" fillId="0" borderId="42" xfId="5" applyFont="1" applyBorder="1" applyAlignment="1">
      <alignment horizontal="center"/>
    </xf>
    <xf numFmtId="0" fontId="40" fillId="0" borderId="30" xfId="5" applyFont="1" applyBorder="1" applyAlignment="1">
      <alignment horizontal="center"/>
    </xf>
    <xf numFmtId="0" fontId="40" fillId="0" borderId="50" xfId="5" applyFont="1" applyBorder="1" applyAlignment="1">
      <alignment horizontal="center"/>
    </xf>
    <xf numFmtId="0" fontId="40" fillId="0" borderId="46" xfId="5" applyFont="1" applyBorder="1" applyAlignment="1">
      <alignment horizontal="center"/>
    </xf>
    <xf numFmtId="0" fontId="40" fillId="0" borderId="28" xfId="5" applyFont="1" applyBorder="1" applyAlignment="1">
      <alignment horizontal="center"/>
    </xf>
    <xf numFmtId="0" fontId="40" fillId="0" borderId="47" xfId="5" applyFont="1" applyBorder="1" applyAlignment="1">
      <alignment horizontal="center"/>
    </xf>
    <xf numFmtId="0" fontId="40" fillId="19" borderId="0" xfId="5" applyFont="1" applyFill="1" applyAlignment="1">
      <alignment horizontal="center"/>
    </xf>
    <xf numFmtId="9" fontId="33" fillId="0" borderId="0" xfId="6" applyFont="1"/>
    <xf numFmtId="0" fontId="33" fillId="0" borderId="0" xfId="5" applyFont="1" applyAlignment="1">
      <alignment horizontal="right"/>
    </xf>
    <xf numFmtId="0" fontId="33" fillId="0" borderId="42" xfId="5" applyFont="1" applyBorder="1"/>
    <xf numFmtId="0" fontId="18" fillId="0" borderId="0" xfId="5" applyBorder="1"/>
    <xf numFmtId="174" fontId="18" fillId="0" borderId="0" xfId="5" applyNumberFormat="1" applyBorder="1"/>
    <xf numFmtId="0" fontId="18" fillId="8" borderId="0" xfId="5" applyFill="1" applyBorder="1" applyAlignment="1">
      <alignment horizontal="right"/>
    </xf>
    <xf numFmtId="164" fontId="18" fillId="0" borderId="0" xfId="5" applyNumberFormat="1" applyBorder="1"/>
    <xf numFmtId="2" fontId="18" fillId="0" borderId="0" xfId="5" applyNumberFormat="1" applyFill="1" applyBorder="1" applyAlignment="1">
      <alignment horizontal="center"/>
    </xf>
    <xf numFmtId="0" fontId="18" fillId="0" borderId="0" xfId="5" applyFill="1" applyBorder="1"/>
    <xf numFmtId="174" fontId="18" fillId="0" borderId="0" xfId="5" applyNumberFormat="1" applyFill="1" applyBorder="1"/>
    <xf numFmtId="0" fontId="18" fillId="0" borderId="0" xfId="5" applyFill="1" applyBorder="1" applyAlignment="1">
      <alignment horizontal="right"/>
    </xf>
    <xf numFmtId="164" fontId="18" fillId="0" borderId="0" xfId="5" applyNumberFormat="1" applyFill="1" applyBorder="1"/>
    <xf numFmtId="2" fontId="18" fillId="0" borderId="0" xfId="5" applyNumberFormat="1" applyFill="1" applyBorder="1"/>
    <xf numFmtId="166" fontId="18" fillId="8" borderId="0" xfId="5" applyNumberFormat="1" applyFill="1" applyBorder="1"/>
    <xf numFmtId="2" fontId="18" fillId="0" borderId="0" xfId="5" applyNumberFormat="1" applyBorder="1"/>
    <xf numFmtId="0" fontId="18" fillId="0" borderId="0" xfId="5" applyFill="1" applyBorder="1" applyAlignment="1">
      <alignment horizontal="center"/>
    </xf>
    <xf numFmtId="166" fontId="18" fillId="0" borderId="0" xfId="5" applyNumberFormat="1" applyFill="1" applyBorder="1"/>
    <xf numFmtId="0" fontId="33" fillId="0" borderId="26" xfId="5" applyFont="1" applyFill="1" applyBorder="1" applyAlignment="1">
      <alignment horizontal="center" vertical="center"/>
    </xf>
    <xf numFmtId="0" fontId="33" fillId="0" borderId="18" xfId="5" applyFont="1" applyFill="1" applyBorder="1" applyAlignment="1">
      <alignment horizontal="center" vertical="center"/>
    </xf>
    <xf numFmtId="0" fontId="33" fillId="0" borderId="17" xfId="5" applyFont="1" applyFill="1" applyBorder="1" applyAlignment="1">
      <alignment horizontal="center" vertical="center"/>
    </xf>
    <xf numFmtId="0" fontId="6" fillId="12" borderId="0" xfId="5" applyFont="1" applyFill="1" applyAlignment="1">
      <alignment horizontal="center"/>
    </xf>
    <xf numFmtId="0" fontId="6" fillId="11" borderId="0" xfId="5" applyFont="1" applyFill="1" applyAlignment="1">
      <alignment horizontal="center"/>
    </xf>
    <xf numFmtId="0" fontId="6" fillId="11" borderId="0" xfId="5" applyFont="1" applyFill="1" applyAlignment="1"/>
    <xf numFmtId="0" fontId="6" fillId="12" borderId="0" xfId="5" applyFont="1" applyFill="1" applyAlignment="1"/>
    <xf numFmtId="0" fontId="6" fillId="10" borderId="0" xfId="5" applyFont="1" applyFill="1" applyAlignment="1"/>
    <xf numFmtId="2" fontId="18" fillId="0" borderId="49" xfId="5" applyNumberFormat="1" applyBorder="1"/>
    <xf numFmtId="0" fontId="6" fillId="11" borderId="44" xfId="5" applyFont="1" applyFill="1" applyBorder="1" applyAlignment="1">
      <alignment horizontal="center"/>
    </xf>
    <xf numFmtId="0" fontId="6" fillId="11" borderId="31" xfId="5" applyFont="1" applyFill="1" applyBorder="1" applyAlignment="1">
      <alignment horizontal="center"/>
    </xf>
    <xf numFmtId="2" fontId="18" fillId="0" borderId="49" xfId="5" applyNumberFormat="1" applyFont="1" applyBorder="1"/>
    <xf numFmtId="0" fontId="18" fillId="0" borderId="19" xfId="5" applyBorder="1"/>
    <xf numFmtId="2" fontId="18" fillId="0" borderId="51" xfId="5" applyNumberFormat="1" applyFont="1" applyBorder="1"/>
    <xf numFmtId="0" fontId="18" fillId="0" borderId="52" xfId="5" applyBorder="1"/>
    <xf numFmtId="2" fontId="18" fillId="0" borderId="51" xfId="5" applyNumberFormat="1" applyBorder="1"/>
    <xf numFmtId="2" fontId="18" fillId="0" borderId="3" xfId="5" applyNumberFormat="1" applyBorder="1"/>
    <xf numFmtId="0" fontId="18" fillId="0" borderId="14" xfId="5" applyBorder="1"/>
    <xf numFmtId="2" fontId="18" fillId="0" borderId="4" xfId="5" applyNumberFormat="1" applyBorder="1"/>
    <xf numFmtId="0" fontId="18" fillId="0" borderId="16" xfId="5" applyBorder="1"/>
    <xf numFmtId="2" fontId="18" fillId="0" borderId="53" xfId="5" applyNumberFormat="1" applyBorder="1"/>
    <xf numFmtId="0" fontId="18" fillId="0" borderId="54" xfId="5" applyBorder="1"/>
    <xf numFmtId="2" fontId="18" fillId="0" borderId="6" xfId="5" applyNumberFormat="1" applyBorder="1"/>
    <xf numFmtId="0" fontId="6" fillId="12" borderId="44" xfId="5" applyFont="1" applyFill="1" applyBorder="1" applyAlignment="1">
      <alignment horizontal="center"/>
    </xf>
    <xf numFmtId="0" fontId="6" fillId="12" borderId="31" xfId="5" applyFont="1" applyFill="1" applyBorder="1" applyAlignment="1">
      <alignment horizontal="center"/>
    </xf>
    <xf numFmtId="0" fontId="6" fillId="12" borderId="55" xfId="5" applyFont="1" applyFill="1" applyBorder="1" applyAlignment="1">
      <alignment horizontal="center"/>
    </xf>
    <xf numFmtId="0" fontId="6" fillId="12" borderId="29" xfId="5" applyFont="1" applyFill="1" applyBorder="1" applyAlignment="1">
      <alignment horizontal="center"/>
    </xf>
    <xf numFmtId="0" fontId="6" fillId="10" borderId="55" xfId="5" applyFont="1" applyFill="1" applyBorder="1" applyAlignment="1">
      <alignment horizontal="center"/>
    </xf>
    <xf numFmtId="0" fontId="6" fillId="10" borderId="29" xfId="5" applyFont="1" applyFill="1" applyBorder="1" applyAlignment="1">
      <alignment horizontal="center"/>
    </xf>
    <xf numFmtId="11" fontId="18" fillId="0" borderId="0" xfId="5" applyNumberFormat="1"/>
    <xf numFmtId="0" fontId="18" fillId="21" borderId="44" xfId="5" applyFill="1" applyBorder="1"/>
    <xf numFmtId="0" fontId="18" fillId="21" borderId="45" xfId="5" applyFill="1" applyBorder="1"/>
    <xf numFmtId="0" fontId="33" fillId="0" borderId="30" xfId="5" applyFont="1" applyBorder="1" applyAlignment="1">
      <alignment horizontal="center"/>
    </xf>
    <xf numFmtId="0" fontId="42" fillId="0" borderId="44" xfId="5" applyFont="1" applyBorder="1" applyAlignment="1">
      <alignment horizontal="center" vertical="center"/>
    </xf>
    <xf numFmtId="0" fontId="42" fillId="0" borderId="31" xfId="5" applyFont="1" applyBorder="1" applyAlignment="1">
      <alignment horizontal="center" vertical="center"/>
    </xf>
    <xf numFmtId="0" fontId="43" fillId="0" borderId="0" xfId="5" applyFont="1"/>
    <xf numFmtId="0" fontId="33" fillId="0" borderId="50" xfId="5" applyFont="1" applyBorder="1" applyAlignment="1">
      <alignment horizontal="center" wrapText="1"/>
    </xf>
    <xf numFmtId="166" fontId="18" fillId="9" borderId="0" xfId="5" applyNumberFormat="1" applyFill="1"/>
    <xf numFmtId="166" fontId="18" fillId="0" borderId="49" xfId="5" applyNumberFormat="1" applyBorder="1"/>
    <xf numFmtId="166" fontId="18" fillId="0" borderId="30" xfId="5" applyNumberFormat="1" applyBorder="1"/>
    <xf numFmtId="166" fontId="18" fillId="0" borderId="0" xfId="5" applyNumberFormat="1" applyAlignment="1">
      <alignment horizontal="center"/>
    </xf>
    <xf numFmtId="0" fontId="44" fillId="0" borderId="0" xfId="5" applyFont="1"/>
    <xf numFmtId="0" fontId="33" fillId="7" borderId="0" xfId="5" applyFont="1" applyFill="1" applyAlignment="1">
      <alignment horizontal="center"/>
    </xf>
    <xf numFmtId="0" fontId="45" fillId="0" borderId="0" xfId="5" applyFont="1"/>
    <xf numFmtId="0" fontId="46" fillId="0" borderId="57" xfId="5" applyFont="1" applyBorder="1"/>
    <xf numFmtId="0" fontId="41" fillId="0" borderId="58" xfId="5" applyFont="1" applyBorder="1"/>
    <xf numFmtId="0" fontId="41" fillId="0" borderId="59" xfId="5" applyFont="1" applyBorder="1"/>
    <xf numFmtId="0" fontId="33" fillId="0" borderId="23" xfId="5" applyFont="1" applyBorder="1" applyAlignment="1">
      <alignment horizontal="center"/>
    </xf>
    <xf numFmtId="0" fontId="33" fillId="0" borderId="42" xfId="5" applyFont="1" applyBorder="1" applyAlignment="1">
      <alignment horizontal="center"/>
    </xf>
    <xf numFmtId="164" fontId="46" fillId="0" borderId="0" xfId="5" applyNumberFormat="1" applyFont="1"/>
    <xf numFmtId="164" fontId="46" fillId="0" borderId="4" xfId="5" applyNumberFormat="1" applyFont="1" applyBorder="1"/>
    <xf numFmtId="0" fontId="33" fillId="0" borderId="0" xfId="5" applyFont="1" applyAlignment="1">
      <alignment horizontal="center"/>
    </xf>
    <xf numFmtId="0" fontId="18" fillId="7" borderId="0" xfId="5" applyFill="1"/>
    <xf numFmtId="164" fontId="46" fillId="0" borderId="5" xfId="5" applyNumberFormat="1" applyFont="1" applyBorder="1"/>
    <xf numFmtId="164" fontId="46" fillId="0" borderId="6" xfId="5" applyNumberFormat="1" applyFont="1" applyBorder="1"/>
    <xf numFmtId="0" fontId="47" fillId="0" borderId="0" xfId="5" applyFont="1"/>
    <xf numFmtId="0" fontId="17" fillId="0" borderId="42" xfId="5" applyFont="1" applyBorder="1" applyAlignment="1">
      <alignment horizontal="center"/>
    </xf>
    <xf numFmtId="0" fontId="41" fillId="20" borderId="0" xfId="5" applyFont="1" applyFill="1" applyAlignment="1">
      <alignment wrapText="1"/>
    </xf>
    <xf numFmtId="0" fontId="41" fillId="22" borderId="0" xfId="5" applyFont="1" applyFill="1"/>
    <xf numFmtId="0" fontId="41" fillId="23" borderId="0" xfId="5" applyFont="1" applyFill="1"/>
    <xf numFmtId="0" fontId="33" fillId="0" borderId="0" xfId="5" applyFont="1" applyFill="1" applyBorder="1" applyAlignment="1">
      <alignment horizontal="center"/>
    </xf>
    <xf numFmtId="0" fontId="33" fillId="0" borderId="0" xfId="5" applyFont="1" applyFill="1" applyBorder="1"/>
    <xf numFmtId="0" fontId="33" fillId="0" borderId="0" xfId="5" applyFont="1" applyFill="1" applyBorder="1" applyAlignment="1">
      <alignment horizontal="right"/>
    </xf>
    <xf numFmtId="166" fontId="18" fillId="0" borderId="0" xfId="5" applyNumberFormat="1" applyFill="1" applyBorder="1" applyAlignment="1">
      <alignment horizontal="center"/>
    </xf>
    <xf numFmtId="0" fontId="41" fillId="0" borderId="0" xfId="5" applyFont="1" applyFill="1" applyBorder="1"/>
    <xf numFmtId="0" fontId="48" fillId="24" borderId="56" xfId="5" applyFont="1" applyFill="1" applyBorder="1" applyAlignment="1">
      <alignment wrapText="1"/>
    </xf>
    <xf numFmtId="0" fontId="48" fillId="25" borderId="56" xfId="5" applyFont="1" applyFill="1" applyBorder="1"/>
    <xf numFmtId="0" fontId="48" fillId="26" borderId="56" xfId="5" applyFont="1" applyFill="1" applyBorder="1"/>
    <xf numFmtId="0" fontId="33" fillId="10" borderId="0" xfId="5" applyFont="1" applyFill="1" applyAlignment="1">
      <alignment horizontal="center"/>
    </xf>
    <xf numFmtId="0" fontId="33" fillId="10" borderId="0" xfId="5" applyFont="1" applyFill="1" applyAlignment="1">
      <alignment horizontal="right"/>
    </xf>
    <xf numFmtId="0" fontId="33" fillId="10" borderId="48" xfId="5" applyFont="1" applyFill="1" applyBorder="1" applyAlignment="1">
      <alignment horizontal="center"/>
    </xf>
    <xf numFmtId="0" fontId="33" fillId="10" borderId="49" xfId="5" applyFont="1" applyFill="1" applyBorder="1" applyAlignment="1">
      <alignment horizontal="center"/>
    </xf>
    <xf numFmtId="0" fontId="33" fillId="10" borderId="0" xfId="5" applyFont="1" applyFill="1" applyBorder="1" applyAlignment="1">
      <alignment horizontal="center"/>
    </xf>
    <xf numFmtId="0" fontId="33" fillId="10" borderId="50" xfId="5" applyFont="1" applyFill="1" applyBorder="1" applyAlignment="1">
      <alignment horizontal="center"/>
    </xf>
    <xf numFmtId="0" fontId="33" fillId="10" borderId="42" xfId="5" applyFont="1" applyFill="1" applyBorder="1" applyAlignment="1">
      <alignment horizontal="center"/>
    </xf>
    <xf numFmtId="0" fontId="33" fillId="10" borderId="45" xfId="5" applyFont="1" applyFill="1" applyBorder="1" applyAlignment="1">
      <alignment horizontal="center"/>
    </xf>
    <xf numFmtId="0" fontId="18" fillId="0" borderId="0" xfId="5" applyFill="1" applyAlignment="1">
      <alignment horizontal="center"/>
    </xf>
    <xf numFmtId="0" fontId="18" fillId="0" borderId="0" xfId="5" applyFill="1"/>
    <xf numFmtId="2" fontId="18" fillId="0" borderId="0" xfId="5" applyNumberFormat="1" applyFill="1"/>
    <xf numFmtId="0" fontId="6" fillId="12" borderId="48" xfId="5" applyFont="1" applyFill="1" applyBorder="1" applyAlignment="1">
      <alignment horizontal="center"/>
    </xf>
    <xf numFmtId="0" fontId="6" fillId="12" borderId="49" xfId="5" applyFont="1" applyFill="1" applyBorder="1" applyAlignment="1">
      <alignment horizontal="center"/>
    </xf>
    <xf numFmtId="0" fontId="6" fillId="12" borderId="50" xfId="5" applyFont="1" applyFill="1" applyBorder="1" applyAlignment="1">
      <alignment horizontal="center"/>
    </xf>
    <xf numFmtId="0" fontId="6" fillId="12" borderId="30" xfId="5" applyFont="1" applyFill="1" applyBorder="1" applyAlignment="1">
      <alignment horizontal="center"/>
    </xf>
    <xf numFmtId="0" fontId="6" fillId="12" borderId="45" xfId="5" applyFont="1" applyFill="1" applyBorder="1" applyAlignment="1">
      <alignment horizontal="center"/>
    </xf>
    <xf numFmtId="0" fontId="6" fillId="12" borderId="0" xfId="5" applyFont="1" applyFill="1" applyAlignment="1">
      <alignment horizontal="center" vertical="center"/>
    </xf>
    <xf numFmtId="0" fontId="6" fillId="12" borderId="0" xfId="5" applyFont="1" applyFill="1" applyAlignment="1">
      <alignment horizontal="right"/>
    </xf>
    <xf numFmtId="0" fontId="6" fillId="11" borderId="0" xfId="5" applyFont="1" applyFill="1" applyAlignment="1">
      <alignment horizontal="right"/>
    </xf>
    <xf numFmtId="0" fontId="21" fillId="11" borderId="0" xfId="5" applyFont="1" applyFill="1" applyAlignment="1">
      <alignment horizontal="center"/>
    </xf>
    <xf numFmtId="0" fontId="21" fillId="11" borderId="42" xfId="5" applyFont="1" applyFill="1" applyBorder="1" applyAlignment="1">
      <alignment horizontal="center"/>
    </xf>
    <xf numFmtId="0" fontId="21" fillId="11" borderId="44" xfId="5" applyFont="1" applyFill="1" applyBorder="1" applyAlignment="1">
      <alignment horizontal="center"/>
    </xf>
    <xf numFmtId="0" fontId="21" fillId="11" borderId="31" xfId="5" applyFont="1" applyFill="1" applyBorder="1" applyAlignment="1">
      <alignment horizontal="center"/>
    </xf>
    <xf numFmtId="0" fontId="21" fillId="11" borderId="48" xfId="5" applyFont="1" applyFill="1" applyBorder="1" applyAlignment="1">
      <alignment horizontal="center"/>
    </xf>
    <xf numFmtId="0" fontId="21" fillId="11" borderId="49" xfId="5" applyFont="1" applyFill="1" applyBorder="1" applyAlignment="1">
      <alignment horizontal="center"/>
    </xf>
    <xf numFmtId="0" fontId="6" fillId="11" borderId="42" xfId="5" applyFont="1" applyFill="1" applyBorder="1" applyAlignment="1">
      <alignment horizontal="center"/>
    </xf>
    <xf numFmtId="0" fontId="6" fillId="11" borderId="44" xfId="5" applyFont="1" applyFill="1" applyBorder="1" applyAlignment="1">
      <alignment horizontal="center"/>
    </xf>
    <xf numFmtId="0" fontId="6" fillId="11" borderId="31" xfId="5" applyFont="1" applyFill="1" applyBorder="1" applyAlignment="1">
      <alignment horizontal="center"/>
    </xf>
    <xf numFmtId="0" fontId="6" fillId="11" borderId="48" xfId="5" applyFont="1" applyFill="1" applyBorder="1" applyAlignment="1">
      <alignment horizontal="center"/>
    </xf>
    <xf numFmtId="0" fontId="6" fillId="11" borderId="49" xfId="5" applyFont="1" applyFill="1" applyBorder="1" applyAlignment="1">
      <alignment horizontal="center"/>
    </xf>
    <xf numFmtId="0" fontId="21" fillId="12" borderId="44" xfId="5" applyFont="1" applyFill="1" applyBorder="1"/>
    <xf numFmtId="0" fontId="21" fillId="12" borderId="31" xfId="5" applyFont="1" applyFill="1" applyBorder="1" applyAlignment="1">
      <alignment horizontal="center"/>
    </xf>
    <xf numFmtId="0" fontId="21" fillId="12" borderId="45" xfId="5" applyFont="1" applyFill="1" applyBorder="1" applyAlignment="1">
      <alignment horizontal="center"/>
    </xf>
    <xf numFmtId="0" fontId="21" fillId="12" borderId="48" xfId="5" applyFont="1" applyFill="1" applyBorder="1"/>
    <xf numFmtId="0" fontId="21" fillId="12" borderId="49" xfId="5" applyFont="1" applyFill="1" applyBorder="1" applyAlignment="1">
      <alignment horizontal="center"/>
    </xf>
    <xf numFmtId="0" fontId="21" fillId="12" borderId="50" xfId="5" applyFont="1" applyFill="1" applyBorder="1"/>
    <xf numFmtId="0" fontId="21" fillId="12" borderId="30" xfId="5" applyFont="1" applyFill="1" applyBorder="1" applyAlignment="1">
      <alignment horizontal="center"/>
    </xf>
    <xf numFmtId="0" fontId="18" fillId="0" borderId="0" xfId="5" applyBorder="1" applyAlignment="1"/>
    <xf numFmtId="0" fontId="18" fillId="0" borderId="0" xfId="5" applyFont="1"/>
    <xf numFmtId="0" fontId="21" fillId="10" borderId="45" xfId="5" applyFont="1" applyFill="1" applyBorder="1" applyAlignment="1">
      <alignment horizontal="center"/>
    </xf>
    <xf numFmtId="0" fontId="21" fillId="10" borderId="0" xfId="5" applyFont="1" applyFill="1" applyAlignment="1">
      <alignment horizontal="center"/>
    </xf>
    <xf numFmtId="0" fontId="21" fillId="10" borderId="48" xfId="5" applyFont="1" applyFill="1" applyBorder="1" applyAlignment="1">
      <alignment horizontal="center"/>
    </xf>
    <xf numFmtId="0" fontId="21" fillId="10" borderId="49" xfId="5" applyFont="1" applyFill="1" applyBorder="1" applyAlignment="1">
      <alignment horizontal="center"/>
    </xf>
    <xf numFmtId="0" fontId="21" fillId="10" borderId="0" xfId="5" applyFont="1" applyFill="1" applyBorder="1" applyAlignment="1">
      <alignment horizontal="center"/>
    </xf>
    <xf numFmtId="0" fontId="21" fillId="10" borderId="50" xfId="5" applyFont="1" applyFill="1" applyBorder="1" applyAlignment="1">
      <alignment horizontal="center"/>
    </xf>
    <xf numFmtId="0" fontId="21" fillId="10" borderId="42" xfId="5" applyFont="1" applyFill="1" applyBorder="1" applyAlignment="1">
      <alignment horizontal="center"/>
    </xf>
    <xf numFmtId="0" fontId="18" fillId="0" borderId="0" xfId="7"/>
    <xf numFmtId="0" fontId="33" fillId="0" borderId="0" xfId="7" applyFont="1"/>
    <xf numFmtId="0" fontId="33" fillId="0" borderId="0" xfId="7" applyFont="1" applyAlignment="1">
      <alignment horizontal="center"/>
    </xf>
    <xf numFmtId="166" fontId="18" fillId="0" borderId="0" xfId="7" applyNumberFormat="1"/>
    <xf numFmtId="0" fontId="33" fillId="0" borderId="0" xfId="7" applyFont="1" applyAlignment="1">
      <alignment horizontal="right"/>
    </xf>
    <xf numFmtId="166" fontId="33" fillId="0" borderId="0" xfId="7" applyNumberFormat="1" applyFont="1" applyAlignment="1">
      <alignment horizontal="right"/>
    </xf>
    <xf numFmtId="0" fontId="50" fillId="0" borderId="19" xfId="0" applyFont="1" applyBorder="1"/>
    <xf numFmtId="0" fontId="51" fillId="7" borderId="2" xfId="0" applyFont="1" applyFill="1" applyBorder="1"/>
    <xf numFmtId="0" fontId="27" fillId="7" borderId="3" xfId="0" applyFont="1" applyFill="1" applyBorder="1"/>
    <xf numFmtId="0" fontId="50" fillId="0" borderId="16" xfId="0" applyFont="1" applyBorder="1"/>
    <xf numFmtId="0" fontId="51" fillId="7" borderId="5" xfId="0" applyFont="1" applyFill="1" applyBorder="1"/>
    <xf numFmtId="0" fontId="27" fillId="7" borderId="6" xfId="0" applyFont="1" applyFill="1" applyBorder="1"/>
    <xf numFmtId="0" fontId="33" fillId="0" borderId="0" xfId="0" applyFont="1"/>
    <xf numFmtId="0" fontId="18" fillId="0" borderId="0" xfId="7" applyAlignment="1">
      <alignment horizontal="center"/>
    </xf>
    <xf numFmtId="164" fontId="18" fillId="0" borderId="0" xfId="7" applyNumberFormat="1"/>
    <xf numFmtId="2" fontId="18" fillId="0" borderId="0" xfId="7" applyNumberFormat="1"/>
    <xf numFmtId="165" fontId="18" fillId="0" borderId="0" xfId="7" applyNumberFormat="1" applyAlignment="1">
      <alignment horizontal="left"/>
    </xf>
    <xf numFmtId="164" fontId="18" fillId="0" borderId="0" xfId="7" applyNumberFormat="1" applyAlignment="1">
      <alignment horizontal="center"/>
    </xf>
    <xf numFmtId="0" fontId="18" fillId="0" borderId="0" xfId="7" applyBorder="1"/>
    <xf numFmtId="0" fontId="33" fillId="0" borderId="0" xfId="7" applyFont="1" applyFill="1" applyBorder="1" applyAlignment="1">
      <alignment horizontal="center"/>
    </xf>
    <xf numFmtId="164" fontId="18" fillId="0" borderId="0" xfId="7" applyNumberFormat="1" applyFill="1" applyBorder="1" applyAlignment="1">
      <alignment horizontal="center"/>
    </xf>
    <xf numFmtId="2" fontId="18" fillId="0" borderId="0" xfId="7" applyNumberFormat="1" applyFill="1" applyBorder="1"/>
    <xf numFmtId="0" fontId="18" fillId="0" borderId="0" xfId="7" applyFill="1" applyBorder="1"/>
    <xf numFmtId="0" fontId="18" fillId="0" borderId="0" xfId="7" applyFill="1"/>
    <xf numFmtId="0" fontId="33" fillId="0" borderId="0" xfId="7" applyFont="1" applyFill="1"/>
    <xf numFmtId="0" fontId="33" fillId="0" borderId="0" xfId="7" applyFont="1" applyFill="1" applyAlignment="1">
      <alignment horizontal="center"/>
    </xf>
    <xf numFmtId="166" fontId="18" fillId="0" borderId="0" xfId="7" applyNumberFormat="1" applyFill="1" applyAlignment="1">
      <alignment horizontal="right"/>
    </xf>
    <xf numFmtId="0" fontId="18" fillId="27" borderId="0" xfId="7" applyFill="1" applyAlignment="1">
      <alignment horizontal="right"/>
    </xf>
    <xf numFmtId="166" fontId="33" fillId="27" borderId="0" xfId="7" applyNumberFormat="1" applyFont="1" applyFill="1" applyAlignment="1">
      <alignment horizontal="right"/>
    </xf>
    <xf numFmtId="0" fontId="33" fillId="27" borderId="0" xfId="7" applyFont="1" applyFill="1" applyAlignment="1">
      <alignment horizontal="right"/>
    </xf>
    <xf numFmtId="0" fontId="18" fillId="16" borderId="0" xfId="7" applyFill="1"/>
    <xf numFmtId="166" fontId="18" fillId="16" borderId="0" xfId="7" applyNumberFormat="1" applyFill="1" applyAlignment="1">
      <alignment horizontal="right"/>
    </xf>
    <xf numFmtId="166" fontId="18" fillId="16" borderId="0" xfId="7" applyNumberFormat="1" applyFill="1"/>
    <xf numFmtId="0" fontId="6" fillId="12" borderId="0" xfId="7" applyFont="1" applyFill="1"/>
    <xf numFmtId="0" fontId="21" fillId="12" borderId="0" xfId="7" applyFont="1" applyFill="1"/>
    <xf numFmtId="0" fontId="6" fillId="11" borderId="0" xfId="7" applyFont="1" applyFill="1"/>
    <xf numFmtId="0" fontId="21" fillId="11" borderId="0" xfId="7" applyFont="1" applyFill="1"/>
    <xf numFmtId="0" fontId="33" fillId="10" borderId="0" xfId="7" applyFont="1" applyFill="1"/>
    <xf numFmtId="0" fontId="18" fillId="10" borderId="0" xfId="7" applyFont="1" applyFill="1"/>
    <xf numFmtId="0" fontId="33" fillId="16" borderId="14" xfId="7" applyFont="1" applyFill="1" applyBorder="1" applyAlignment="1">
      <alignment horizontal="center"/>
    </xf>
    <xf numFmtId="166" fontId="18" fillId="0" borderId="4" xfId="7" applyNumberFormat="1" applyBorder="1"/>
    <xf numFmtId="0" fontId="33" fillId="16" borderId="16" xfId="7" applyFont="1" applyFill="1" applyBorder="1" applyAlignment="1">
      <alignment horizontal="center"/>
    </xf>
    <xf numFmtId="0" fontId="18" fillId="0" borderId="5" xfId="7" applyBorder="1"/>
    <xf numFmtId="166" fontId="18" fillId="0" borderId="6" xfId="7" applyNumberFormat="1" applyBorder="1"/>
    <xf numFmtId="0" fontId="6" fillId="12" borderId="0" xfId="7" applyFont="1" applyFill="1" applyAlignment="1">
      <alignment horizontal="center"/>
    </xf>
    <xf numFmtId="0" fontId="6" fillId="11" borderId="0" xfId="7" applyFont="1" applyFill="1" applyAlignment="1">
      <alignment horizontal="center"/>
    </xf>
    <xf numFmtId="0" fontId="33" fillId="10" borderId="0" xfId="7" applyFont="1" applyFill="1" applyAlignment="1">
      <alignment horizontal="center"/>
    </xf>
    <xf numFmtId="0" fontId="18" fillId="0" borderId="0" xfId="7" applyFont="1" applyFill="1"/>
    <xf numFmtId="164" fontId="18" fillId="0" borderId="0" xfId="7" applyNumberFormat="1" applyFill="1" applyAlignment="1">
      <alignment horizontal="center"/>
    </xf>
    <xf numFmtId="2" fontId="18" fillId="0" borderId="0" xfId="7" applyNumberFormat="1" applyFill="1"/>
    <xf numFmtId="0" fontId="18" fillId="0" borderId="0" xfId="7" applyFont="1" applyAlignment="1">
      <alignment horizontal="center"/>
    </xf>
    <xf numFmtId="0" fontId="18" fillId="0" borderId="0" xfId="7" applyFont="1"/>
    <xf numFmtId="0" fontId="18" fillId="16" borderId="0" xfId="7" applyFont="1" applyFill="1"/>
    <xf numFmtId="0" fontId="18" fillId="16" borderId="14" xfId="7" applyFill="1" applyBorder="1"/>
    <xf numFmtId="0" fontId="18" fillId="16" borderId="16" xfId="7" applyFill="1" applyBorder="1"/>
    <xf numFmtId="0" fontId="33" fillId="16" borderId="13" xfId="7" applyFont="1" applyFill="1" applyBorder="1"/>
    <xf numFmtId="0" fontId="33" fillId="0" borderId="58" xfId="7" applyFont="1" applyBorder="1" applyAlignment="1">
      <alignment horizontal="center"/>
    </xf>
    <xf numFmtId="0" fontId="33" fillId="0" borderId="59" xfId="7" applyFont="1" applyBorder="1" applyAlignment="1">
      <alignment horizontal="center"/>
    </xf>
    <xf numFmtId="0" fontId="18" fillId="16" borderId="13" xfId="7" applyFill="1" applyBorder="1"/>
    <xf numFmtId="0" fontId="33" fillId="0" borderId="0" xfId="7" applyFont="1" applyFill="1" applyAlignment="1">
      <alignment horizontal="right"/>
    </xf>
    <xf numFmtId="166" fontId="21" fillId="12" borderId="0" xfId="7" applyNumberFormat="1" applyFont="1" applyFill="1"/>
    <xf numFmtId="166" fontId="21" fillId="11" borderId="0" xfId="7" applyNumberFormat="1" applyFont="1" applyFill="1"/>
    <xf numFmtId="166" fontId="18" fillId="10" borderId="0" xfId="7" applyNumberFormat="1" applyFont="1" applyFill="1"/>
    <xf numFmtId="0" fontId="21" fillId="12" borderId="0" xfId="7" applyFont="1" applyFill="1" applyAlignment="1">
      <alignment horizontal="center"/>
    </xf>
    <xf numFmtId="0" fontId="21" fillId="12" borderId="0" xfId="7" applyFont="1" applyFill="1" applyAlignment="1">
      <alignment horizontal="right"/>
    </xf>
    <xf numFmtId="0" fontId="18" fillId="0" borderId="0" xfId="7" applyAlignment="1">
      <alignment horizontal="right"/>
    </xf>
    <xf numFmtId="0" fontId="21" fillId="11" borderId="0" xfId="7" applyFont="1" applyFill="1" applyAlignment="1">
      <alignment horizontal="right"/>
    </xf>
    <xf numFmtId="0" fontId="18" fillId="10" borderId="0" xfId="7" applyFont="1" applyFill="1" applyAlignment="1">
      <alignment horizontal="right"/>
    </xf>
    <xf numFmtId="0" fontId="18" fillId="0" borderId="0" xfId="7" applyFont="1" applyAlignment="1">
      <alignment horizontal="right"/>
    </xf>
    <xf numFmtId="0" fontId="18" fillId="0" borderId="42" xfId="7" applyBorder="1"/>
    <xf numFmtId="0" fontId="33" fillId="0" borderId="42" xfId="7" applyFont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164" fontId="47" fillId="0" borderId="0" xfId="7" applyNumberFormat="1" applyFont="1"/>
    <xf numFmtId="0" fontId="6" fillId="12" borderId="42" xfId="7" applyFont="1" applyFill="1" applyBorder="1" applyAlignment="1">
      <alignment horizontal="center"/>
    </xf>
    <xf numFmtId="0" fontId="6" fillId="11" borderId="42" xfId="7" applyFont="1" applyFill="1" applyBorder="1" applyAlignment="1">
      <alignment horizontal="center"/>
    </xf>
    <xf numFmtId="0" fontId="17" fillId="0" borderId="4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3" fillId="10" borderId="7" xfId="7" applyFont="1" applyFill="1" applyBorder="1" applyAlignment="1">
      <alignment horizontal="center"/>
    </xf>
    <xf numFmtId="0" fontId="6" fillId="12" borderId="8" xfId="7" applyFont="1" applyFill="1" applyBorder="1" applyAlignment="1">
      <alignment horizontal="center"/>
    </xf>
    <xf numFmtId="0" fontId="6" fillId="11" borderId="9" xfId="7" applyFont="1" applyFill="1" applyBorder="1" applyAlignment="1">
      <alignment horizontal="center"/>
    </xf>
    <xf numFmtId="0" fontId="17" fillId="0" borderId="26" xfId="0" applyFont="1" applyBorder="1"/>
    <xf numFmtId="0" fontId="17" fillId="0" borderId="17" xfId="0" applyFont="1" applyBorder="1"/>
  </cellXfs>
  <cellStyles count="8">
    <cellStyle name="Normal 2" xfId="1" xr:uid="{BA17FB50-6662-44EC-AA67-CC19F142E3F3}"/>
    <cellStyle name="Normal 3" xfId="2" xr:uid="{5940B191-8786-4860-9203-E12C3059E545}"/>
    <cellStyle name="Normale" xfId="0" builtinId="0"/>
    <cellStyle name="Normale 2" xfId="4" xr:uid="{C4941A0F-244A-4024-9D81-F387C2FA3D99}"/>
    <cellStyle name="Normale 2 2" xfId="7" xr:uid="{476C7E5E-B5C9-4A67-8F17-BEE555E6E8CB}"/>
    <cellStyle name="Normale 3" xfId="5" xr:uid="{67E4828C-C526-46F9-AA06-7F1925113EA4}"/>
    <cellStyle name="Percentuale" xfId="3" builtinId="5"/>
    <cellStyle name="Percentuale 2" xfId="6" xr:uid="{10516B3F-7A8E-4B96-A7A9-1E3FAECFC9E7}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CC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Standard's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7894157524009446"/>
                  <c:y val="0.392309649291709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PROT!$L$25:$L$29</c:f>
              <c:numCache>
                <c:formatCode>0</c:formatCode>
                <c:ptCount val="5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20</c:v>
                </c:pt>
                <c:pt idx="4">
                  <c:v>40</c:v>
                </c:pt>
              </c:numCache>
            </c:numRef>
          </c:xVal>
          <c:yVal>
            <c:numRef>
              <c:f>PROT!$O$25:$O$29</c:f>
              <c:numCache>
                <c:formatCode>0.000</c:formatCode>
                <c:ptCount val="5"/>
                <c:pt idx="0">
                  <c:v>-4.0500000000000001E-2</c:v>
                </c:pt>
                <c:pt idx="1">
                  <c:v>4.8000000000000001E-2</c:v>
                </c:pt>
                <c:pt idx="2">
                  <c:v>0.14250000000000002</c:v>
                </c:pt>
                <c:pt idx="3">
                  <c:v>0.30249999999999999</c:v>
                </c:pt>
                <c:pt idx="4">
                  <c:v>0.51350000000000007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21-4E70-9E52-1DBC4196C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143168"/>
        <c:axId val="651144480"/>
      </c:scatterChart>
      <c:valAx>
        <c:axId val="65114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51144480"/>
        <c:crosses val="autoZero"/>
        <c:crossBetween val="midCat"/>
      </c:valAx>
      <c:valAx>
        <c:axId val="651144480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5114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CTRL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CCFF"/>
            </a:solidFill>
            <a:ln>
              <a:noFill/>
            </a:ln>
            <a:effectLst/>
          </c:spPr>
          <c:invertIfNegative val="0"/>
          <c:val>
            <c:numRef>
              <c:f>GLY!$F$21:$F$25</c:f>
              <c:numCache>
                <c:formatCode>0.000</c:formatCode>
                <c:ptCount val="5"/>
                <c:pt idx="1">
                  <c:v>46.992856518118245</c:v>
                </c:pt>
                <c:pt idx="2">
                  <c:v>43.24546996391183</c:v>
                </c:pt>
                <c:pt idx="3">
                  <c:v>43.97200409176817</c:v>
                </c:pt>
                <c:pt idx="4">
                  <c:v>40.148140260945297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2-4460-816A-51351B2C0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5728543"/>
        <c:axId val="1085729023"/>
      </c:barChart>
      <c:catAx>
        <c:axId val="10857285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729023"/>
        <c:crosses val="autoZero"/>
        <c:auto val="1"/>
        <c:lblAlgn val="ctr"/>
        <c:lblOffset val="100"/>
        <c:noMultiLvlLbl val="0"/>
      </c:catAx>
      <c:valAx>
        <c:axId val="1085729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728543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Medium polluted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GLY!$F$3:$F$11</c:f>
              <c:numCache>
                <c:formatCode>0.000</c:formatCode>
                <c:ptCount val="9"/>
                <c:pt idx="0">
                  <c:v>25.273309959044287</c:v>
                </c:pt>
                <c:pt idx="1">
                  <c:v>31.812117109751412</c:v>
                </c:pt>
                <c:pt idx="4">
                  <c:v>36.094844600273042</c:v>
                </c:pt>
                <c:pt idx="5">
                  <c:v>19.613991489426429</c:v>
                </c:pt>
                <c:pt idx="6">
                  <c:v>26.038082725208866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8-4826-A1EC-8DD8691F3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5726623"/>
        <c:axId val="1085725663"/>
      </c:barChart>
      <c:catAx>
        <c:axId val="10857266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725663"/>
        <c:crosses val="autoZero"/>
        <c:auto val="1"/>
        <c:lblAlgn val="ctr"/>
        <c:lblOffset val="100"/>
        <c:noMultiLvlLbl val="0"/>
      </c:catAx>
      <c:valAx>
        <c:axId val="1085725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726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Highly polluted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val>
            <c:numRef>
              <c:f>GLY!$F$12:$F$20</c:f>
              <c:numCache>
                <c:formatCode>0.000</c:formatCode>
                <c:ptCount val="9"/>
                <c:pt idx="1">
                  <c:v>24.54677583118794</c:v>
                </c:pt>
                <c:pt idx="2">
                  <c:v>18.39035506356311</c:v>
                </c:pt>
                <c:pt idx="3">
                  <c:v>24.049673533180965</c:v>
                </c:pt>
                <c:pt idx="4">
                  <c:v>35.13887864256732</c:v>
                </c:pt>
                <c:pt idx="5">
                  <c:v>42.327742644514331</c:v>
                </c:pt>
                <c:pt idx="6">
                  <c:v>32.34745804606662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2-41E4-8A6B-89B8D5910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5734303"/>
        <c:axId val="1085737183"/>
      </c:barChart>
      <c:catAx>
        <c:axId val="108573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737183"/>
        <c:crosses val="autoZero"/>
        <c:auto val="1"/>
        <c:lblAlgn val="ctr"/>
        <c:lblOffset val="100"/>
        <c:noMultiLvlLbl val="0"/>
      </c:catAx>
      <c:valAx>
        <c:axId val="1085737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73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GSTs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ptos Display" panose="020B00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4128221057714177"/>
          <c:y val="0.13977601021159872"/>
          <c:w val="0.83550248852879494"/>
          <c:h val="0.7383222222222222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CCFF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4A7-4E19-A28A-B7B0F3C039B0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9C0-408F-B902-1C1EA9E15C5E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9C0-408F-B902-1C1EA9E15C5E}"/>
              </c:ext>
            </c:extLst>
          </c:dPt>
          <c:dLbls>
            <c:dLbl>
              <c:idx val="0"/>
              <c:layout>
                <c:manualLayout>
                  <c:x val="-3.5997732426303855E-3"/>
                  <c:y val="-5.9700854700854754E-2"/>
                </c:manualLayout>
              </c:layout>
              <c:tx>
                <c:rich>
                  <a:bodyPr/>
                  <a:lstStyle/>
                  <a:p>
                    <a:fld id="{5B7B408C-FFCA-4327-9BEC-37C98D767DA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4A7-4E19-A28A-B7B0F3C039B0}"/>
                </c:ext>
              </c:extLst>
            </c:dLbl>
            <c:dLbl>
              <c:idx val="1"/>
              <c:layout>
                <c:manualLayout>
                  <c:x val="3.5997732426304514E-3"/>
                  <c:y val="-6.5128205128205122E-2"/>
                </c:manualLayout>
              </c:layout>
              <c:tx>
                <c:rich>
                  <a:bodyPr/>
                  <a:lstStyle/>
                  <a:p>
                    <a:fld id="{1699C3A3-1990-4B2C-B152-ED619F14B0A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9C0-408F-B902-1C1EA9E15C5E}"/>
                </c:ext>
              </c:extLst>
            </c:dLbl>
            <c:dLbl>
              <c:idx val="2"/>
              <c:layout>
                <c:manualLayout>
                  <c:x val="0"/>
                  <c:y val="-5.9700854700854698E-2"/>
                </c:manualLayout>
              </c:layout>
              <c:tx>
                <c:rich>
                  <a:bodyPr/>
                  <a:lstStyle/>
                  <a:p>
                    <a:fld id="{857892AF-B819-4730-B0AB-0A70E2560A5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9C0-408F-B902-1C1EA9E15C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GSTs!$P$17:$P$19</c:f>
                <c:numCache>
                  <c:formatCode>General</c:formatCode>
                  <c:ptCount val="3"/>
                  <c:pt idx="0">
                    <c:v>9.3281356870643961</c:v>
                  </c:pt>
                  <c:pt idx="1">
                    <c:v>10.362642060291046</c:v>
                  </c:pt>
                  <c:pt idx="2">
                    <c:v>8.2676162270708602</c:v>
                  </c:pt>
                </c:numCache>
              </c:numRef>
            </c:plus>
            <c:minus>
              <c:numRef>
                <c:f>GSTs!$P$17:$P$19</c:f>
                <c:numCache>
                  <c:formatCode>General</c:formatCode>
                  <c:ptCount val="3"/>
                  <c:pt idx="0">
                    <c:v>9.3281356870643961</c:v>
                  </c:pt>
                  <c:pt idx="1">
                    <c:v>10.362642060291046</c:v>
                  </c:pt>
                  <c:pt idx="2">
                    <c:v>8.2676162270708602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GSTs!$N$17:$N$19</c:f>
              <c:strCache>
                <c:ptCount val="3"/>
                <c:pt idx="0">
                  <c:v>CTRL</c:v>
                </c:pt>
                <c:pt idx="1">
                  <c:v>medium polluted</c:v>
                </c:pt>
                <c:pt idx="2">
                  <c:v>highly polluted</c:v>
                </c:pt>
              </c:strCache>
            </c:strRef>
          </c:cat>
          <c:val>
            <c:numRef>
              <c:f>GSTs!$O$17:$O$19</c:f>
              <c:numCache>
                <c:formatCode>0.000</c:formatCode>
                <c:ptCount val="3"/>
                <c:pt idx="0">
                  <c:v>47.106026109432115</c:v>
                </c:pt>
                <c:pt idx="1">
                  <c:v>82.343864600785324</c:v>
                </c:pt>
                <c:pt idx="2">
                  <c:v>51.790495051818937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GSTs!$S$26:$S$28</c15:f>
                <c15:dlblRangeCache>
                  <c:ptCount val="3"/>
                  <c:pt idx="0">
                    <c:v>A</c:v>
                  </c:pt>
                  <c:pt idx="1">
                    <c:v>B</c:v>
                  </c:pt>
                  <c:pt idx="2">
                    <c:v>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9C0-408F-B902-1C1EA9E15C5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515741263"/>
        <c:axId val="515741743"/>
      </c:barChart>
      <c:catAx>
        <c:axId val="51574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15741743"/>
        <c:crosses val="autoZero"/>
        <c:auto val="1"/>
        <c:lblAlgn val="ctr"/>
        <c:lblOffset val="100"/>
        <c:noMultiLvlLbl val="0"/>
      </c:catAx>
      <c:valAx>
        <c:axId val="5157417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U GST/mg</a:t>
                </a:r>
                <a:r>
                  <a:rPr lang="en-US" baseline="0"/>
                  <a:t> PROT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4455782312925178E-3"/>
              <c:y val="0.3003555555555555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ptos Display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1574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ptos Display" panose="020B00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CTRL</a:t>
            </a:r>
          </a:p>
        </c:rich>
      </c:tx>
      <c:layout>
        <c:manualLayout>
          <c:xMode val="edge"/>
          <c:yMode val="edge"/>
          <c:x val="0.39871522309711288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CCFF"/>
            </a:solidFill>
            <a:ln>
              <a:noFill/>
            </a:ln>
            <a:effectLst/>
          </c:spPr>
          <c:invertIfNegative val="0"/>
          <c:val>
            <c:numRef>
              <c:f>GSTs!$J$21:$J$25</c:f>
              <c:numCache>
                <c:formatCode>0.00</c:formatCode>
                <c:ptCount val="5"/>
                <c:pt idx="0">
                  <c:v>39.528575064468569</c:v>
                </c:pt>
                <c:pt idx="1">
                  <c:v>49.785325203402799</c:v>
                </c:pt>
                <c:pt idx="2">
                  <c:v>39.951717474605694</c:v>
                </c:pt>
                <c:pt idx="3">
                  <c:v>59.158486695251419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AC-4BA6-BD0F-6F8488258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12158639"/>
        <c:axId val="515736463"/>
      </c:barChart>
      <c:catAx>
        <c:axId val="61215863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5736463"/>
        <c:crosses val="autoZero"/>
        <c:auto val="1"/>
        <c:lblAlgn val="ctr"/>
        <c:lblOffset val="100"/>
        <c:noMultiLvlLbl val="0"/>
      </c:catAx>
      <c:valAx>
        <c:axId val="515736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12158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Medium polluted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GSTs!$J$3:$J$11</c:f>
              <c:numCache>
                <c:formatCode>0.00</c:formatCode>
                <c:ptCount val="9"/>
                <c:pt idx="0">
                  <c:v>75.003601593995796</c:v>
                </c:pt>
                <c:pt idx="1">
                  <c:v>89.434247283967323</c:v>
                </c:pt>
                <c:pt idx="2">
                  <c:v>93.835062571891342</c:v>
                </c:pt>
                <c:pt idx="4">
                  <c:v>63.179296084459132</c:v>
                </c:pt>
                <c:pt idx="5">
                  <c:v>82.428200597376176</c:v>
                </c:pt>
                <c:pt idx="6">
                  <c:v>84.016836755407141</c:v>
                </c:pt>
                <c:pt idx="8">
                  <c:v>88.50980731840032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1B-4B32-A3AF-1D2056CE4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4441743"/>
        <c:axId val="1104442223"/>
      </c:barChart>
      <c:catAx>
        <c:axId val="11044417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42223"/>
        <c:crosses val="autoZero"/>
        <c:auto val="1"/>
        <c:lblAlgn val="ctr"/>
        <c:lblOffset val="100"/>
        <c:noMultiLvlLbl val="0"/>
      </c:catAx>
      <c:valAx>
        <c:axId val="110444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417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Highly polluted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GSTs!$B$12:$B$20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</c:numCache>
            </c:numRef>
          </c:cat>
          <c:val>
            <c:numRef>
              <c:f>GSTs!$J$12:$J$20</c:f>
              <c:numCache>
                <c:formatCode>0.00</c:formatCode>
                <c:ptCount val="9"/>
                <c:pt idx="0">
                  <c:v>56.508050938358338</c:v>
                </c:pt>
                <c:pt idx="2">
                  <c:v>49.7936139980565</c:v>
                </c:pt>
                <c:pt idx="3">
                  <c:v>46.643328819130957</c:v>
                </c:pt>
                <c:pt idx="4">
                  <c:v>65.843560948370197</c:v>
                </c:pt>
                <c:pt idx="6">
                  <c:v>42.516433011459185</c:v>
                </c:pt>
                <c:pt idx="8">
                  <c:v>49.437982595538408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FE-41A0-A3E4-20BF2C6A1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4440303"/>
        <c:axId val="1104440783"/>
      </c:barChart>
      <c:catAx>
        <c:axId val="110444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40783"/>
        <c:crosses val="autoZero"/>
        <c:auto val="1"/>
        <c:lblAlgn val="ctr"/>
        <c:lblOffset val="100"/>
        <c:noMultiLvlLbl val="0"/>
      </c:catAx>
      <c:valAx>
        <c:axId val="1104440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40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CbEs - pNPB norm PROT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ptos Display" panose="020B00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5380158411837447"/>
          <c:y val="0.14867199246627083"/>
          <c:w val="0.80739540407906596"/>
          <c:h val="0.73424999999999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6CCFF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CCFF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ABF-463D-8CB3-61F2D9557663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DABF-463D-8CB3-61F2D9557663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CD1-4608-8B61-160818AED863}"/>
              </c:ext>
            </c:extLst>
          </c:dPt>
          <c:dLbls>
            <c:dLbl>
              <c:idx val="0"/>
              <c:layout>
                <c:manualLayout>
                  <c:x val="-3.2997540200378348E-17"/>
                  <c:y val="-8.141025641025644E-2"/>
                </c:manualLayout>
              </c:layout>
              <c:tx>
                <c:rich>
                  <a:bodyPr/>
                  <a:lstStyle/>
                  <a:p>
                    <a:fld id="{91E4D799-67A5-4C83-B08A-5535D99CF67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ABF-463D-8CB3-61F2D9557663}"/>
                </c:ext>
              </c:extLst>
            </c:dLbl>
            <c:dLbl>
              <c:idx val="1"/>
              <c:layout>
                <c:manualLayout>
                  <c:x val="6.5995080400756696E-17"/>
                  <c:y val="-6.5128205128205177E-2"/>
                </c:manualLayout>
              </c:layout>
              <c:tx>
                <c:rich>
                  <a:bodyPr/>
                  <a:lstStyle/>
                  <a:p>
                    <a:fld id="{56DB461B-A848-40B8-B7B5-788AFC93E62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ABF-463D-8CB3-61F2D9557663}"/>
                </c:ext>
              </c:extLst>
            </c:dLbl>
            <c:dLbl>
              <c:idx val="2"/>
              <c:layout>
                <c:manualLayout>
                  <c:x val="-1.3199016080151339E-16"/>
                  <c:y val="-6.5128205128205177E-2"/>
                </c:manualLayout>
              </c:layout>
              <c:tx>
                <c:rich>
                  <a:bodyPr/>
                  <a:lstStyle/>
                  <a:p>
                    <a:fld id="{078DD8EB-CE4B-4C18-A553-F2286DC0D45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CD1-4608-8B61-160818AED8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CbEs_pNPBsubstrate!$P$17:$P$19</c:f>
                <c:numCache>
                  <c:formatCode>General</c:formatCode>
                  <c:ptCount val="3"/>
                  <c:pt idx="0">
                    <c:v>83.193540212557906</c:v>
                  </c:pt>
                  <c:pt idx="1">
                    <c:v>73.789308375418898</c:v>
                  </c:pt>
                  <c:pt idx="2">
                    <c:v>72.155918763007179</c:v>
                  </c:pt>
                </c:numCache>
              </c:numRef>
            </c:plus>
            <c:minus>
              <c:numRef>
                <c:f>CbEs_pNPBsubstrate!$P$17:$P$19</c:f>
                <c:numCache>
                  <c:formatCode>General</c:formatCode>
                  <c:ptCount val="3"/>
                  <c:pt idx="0">
                    <c:v>83.193540212557906</c:v>
                  </c:pt>
                  <c:pt idx="1">
                    <c:v>73.789308375418898</c:v>
                  </c:pt>
                  <c:pt idx="2">
                    <c:v>72.155918763007179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CbEs_pNPBsubstrate!$N$17:$N$19</c:f>
              <c:strCache>
                <c:ptCount val="3"/>
                <c:pt idx="0">
                  <c:v>CTRL</c:v>
                </c:pt>
                <c:pt idx="1">
                  <c:v>medium polluted</c:v>
                </c:pt>
                <c:pt idx="2">
                  <c:v>highly polluted</c:v>
                </c:pt>
              </c:strCache>
            </c:strRef>
          </c:cat>
          <c:val>
            <c:numRef>
              <c:f>CbEs_pNPBsubstrate!$O$17:$O$19</c:f>
              <c:numCache>
                <c:formatCode>0.000</c:formatCode>
                <c:ptCount val="3"/>
                <c:pt idx="0">
                  <c:v>494.15211953887808</c:v>
                </c:pt>
                <c:pt idx="1">
                  <c:v>363.72925444731453</c:v>
                </c:pt>
                <c:pt idx="2">
                  <c:v>273.64990186481157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CbEs_pNPBsubstrate!$S$26:$S$28</c15:f>
                <c15:dlblRangeCache>
                  <c:ptCount val="3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ABF-463D-8CB3-61F2D95576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515739823"/>
        <c:axId val="515740303"/>
      </c:barChart>
      <c:catAx>
        <c:axId val="51573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15740303"/>
        <c:crosses val="autoZero"/>
        <c:auto val="1"/>
        <c:lblAlgn val="ctr"/>
        <c:lblOffset val="100"/>
        <c:noMultiLvlLbl val="0"/>
      </c:catAx>
      <c:valAx>
        <c:axId val="51574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nmol/min/mg PROT</a:t>
                </a:r>
              </a:p>
            </c:rich>
          </c:tx>
          <c:layout>
            <c:manualLayout>
              <c:xMode val="edge"/>
              <c:yMode val="edge"/>
              <c:x val="3.0895691609977324E-3"/>
              <c:y val="0.24565940170940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ptos Display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15739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ptos Display" panose="020B00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CTRL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CCFF"/>
            </a:solidFill>
            <a:ln>
              <a:noFill/>
            </a:ln>
            <a:effectLst/>
          </c:spPr>
          <c:invertIfNegative val="0"/>
          <c:val>
            <c:numRef>
              <c:f>CbEs_pNPBsubstrate!$J$21:$J$25</c:f>
              <c:numCache>
                <c:formatCode>0.00</c:formatCode>
                <c:ptCount val="5"/>
                <c:pt idx="0">
                  <c:v>484.04194523808297</c:v>
                </c:pt>
                <c:pt idx="1">
                  <c:v>353.2905994793515</c:v>
                </c:pt>
                <c:pt idx="2">
                  <c:v>537.36342003894845</c:v>
                </c:pt>
                <c:pt idx="3">
                  <c:v>542.23967712429896</c:v>
                </c:pt>
                <c:pt idx="4">
                  <c:v>553.82495581370847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4D-4F7B-930E-7C66D13AD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4448943"/>
        <c:axId val="1104461423"/>
      </c:barChart>
      <c:catAx>
        <c:axId val="11044489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61423"/>
        <c:crosses val="autoZero"/>
        <c:auto val="1"/>
        <c:lblAlgn val="ctr"/>
        <c:lblOffset val="100"/>
        <c:noMultiLvlLbl val="0"/>
      </c:catAx>
      <c:valAx>
        <c:axId val="1104461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48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Medium</a:t>
            </a:r>
            <a:r>
              <a:rPr lang="it-IT" baseline="0"/>
              <a:t> polluted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CbEs_pNPBsubstrate!$J$3:$J$11</c:f>
              <c:numCache>
                <c:formatCode>0.00</c:formatCode>
                <c:ptCount val="9"/>
                <c:pt idx="0">
                  <c:v>422.78149555222546</c:v>
                </c:pt>
                <c:pt idx="1">
                  <c:v>488.22376549404783</c:v>
                </c:pt>
                <c:pt idx="2">
                  <c:v>305.81416445355768</c:v>
                </c:pt>
                <c:pt idx="3">
                  <c:v>301.09390320212469</c:v>
                </c:pt>
                <c:pt idx="4">
                  <c:v>381.80879555108737</c:v>
                </c:pt>
                <c:pt idx="5">
                  <c:v>412.64558004569017</c:v>
                </c:pt>
                <c:pt idx="7">
                  <c:v>280.26726406843784</c:v>
                </c:pt>
                <c:pt idx="8">
                  <c:v>317.19906721134578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A-4D2B-9B92-4AFAC8254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4468143"/>
        <c:axId val="1104468623"/>
      </c:barChart>
      <c:catAx>
        <c:axId val="11044681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68623"/>
        <c:crosses val="autoZero"/>
        <c:auto val="1"/>
        <c:lblAlgn val="ctr"/>
        <c:lblOffset val="100"/>
        <c:noMultiLvlLbl val="0"/>
      </c:catAx>
      <c:valAx>
        <c:axId val="1104468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68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PROT</a:t>
            </a:r>
          </a:p>
        </c:rich>
      </c:tx>
      <c:layout>
        <c:manualLayout>
          <c:xMode val="edge"/>
          <c:yMode val="edge"/>
          <c:x val="0.4718111408586193"/>
          <c:y val="3.190429715712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3677507926578994"/>
          <c:y val="0.20142068327951054"/>
          <c:w val="0.83763978803663952"/>
          <c:h val="0.6925179398867774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CCFF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8D-497C-83FB-BA49421EE3C8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8D-497C-83FB-BA49421EE3C8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8D-497C-83FB-BA49421EE3C8}"/>
              </c:ext>
            </c:extLst>
          </c:dPt>
          <c:dLbls>
            <c:dLbl>
              <c:idx val="0"/>
              <c:layout>
                <c:manualLayout>
                  <c:x val="0"/>
                  <c:y val="-0.12089549397214855"/>
                </c:manualLayout>
              </c:layout>
              <c:tx>
                <c:rich>
                  <a:bodyPr/>
                  <a:lstStyle/>
                  <a:p>
                    <a:fld id="{5D27E7CE-F860-496F-B5FD-FB3933E3193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A8D-497C-83FB-BA49421EE3C8}"/>
                </c:ext>
              </c:extLst>
            </c:dLbl>
            <c:dLbl>
              <c:idx val="1"/>
              <c:layout>
                <c:manualLayout>
                  <c:x val="3.5489303887084123E-3"/>
                  <c:y val="-7.1641774205717684E-2"/>
                </c:manualLayout>
              </c:layout>
              <c:tx>
                <c:rich>
                  <a:bodyPr/>
                  <a:lstStyle/>
                  <a:p>
                    <a:fld id="{CC335B9C-6B44-4B9F-8F32-30F4AFF5D77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A8D-497C-83FB-BA49421EE3C8}"/>
                </c:ext>
              </c:extLst>
            </c:dLbl>
            <c:dLbl>
              <c:idx val="2"/>
              <c:layout>
                <c:manualLayout>
                  <c:x val="-1.3012594435996416E-16"/>
                  <c:y val="-8.0596995981432371E-2"/>
                </c:manualLayout>
              </c:layout>
              <c:tx>
                <c:rich>
                  <a:bodyPr/>
                  <a:lstStyle/>
                  <a:p>
                    <a:fld id="{E7D74ADB-DF95-413E-900E-B721B7507D7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A8D-497C-83FB-BA49421EE3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PROT!#REF!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PROT!#REF!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PROT!$L$18:$L$20</c:f>
              <c:strCache>
                <c:ptCount val="3"/>
                <c:pt idx="0">
                  <c:v>CTRL</c:v>
                </c:pt>
                <c:pt idx="1">
                  <c:v>medium polluted</c:v>
                </c:pt>
                <c:pt idx="2">
                  <c:v>highly polluted</c:v>
                </c:pt>
              </c:strCache>
            </c:strRef>
          </c:cat>
          <c:val>
            <c:numRef>
              <c:f>PROT!$M$18:$M$20</c:f>
              <c:numCache>
                <c:formatCode>0.00</c:formatCode>
                <c:ptCount val="3"/>
                <c:pt idx="0">
                  <c:v>40.158009444242644</c:v>
                </c:pt>
                <c:pt idx="1">
                  <c:v>45.860879041046125</c:v>
                </c:pt>
                <c:pt idx="2">
                  <c:v>44.020462525729506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PROT!$V$36:$V$38</c15:f>
                <c15:dlblRangeCache>
                  <c:ptCount val="3"/>
                  <c:pt idx="0">
                    <c:v>A</c:v>
                  </c:pt>
                  <c:pt idx="1">
                    <c:v>B</c:v>
                  </c:pt>
                  <c:pt idx="2">
                    <c:v>AB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A8D-497C-83FB-BA49421EE3C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638170744"/>
        <c:axId val="638167792"/>
      </c:barChart>
      <c:catAx>
        <c:axId val="6381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638167792"/>
        <c:crosses val="autoZero"/>
        <c:auto val="1"/>
        <c:lblAlgn val="ctr"/>
        <c:lblOffset val="100"/>
        <c:noMultiLvlLbl val="0"/>
      </c:catAx>
      <c:valAx>
        <c:axId val="63816779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mg/g FW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6381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Highly polluted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CbEs_pNPBsubstrate!$B$12:$B$20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</c:numCache>
            </c:numRef>
          </c:cat>
          <c:val>
            <c:numRef>
              <c:f>CbEs_pNPBsubstrate!$J$12:$J$20</c:f>
              <c:numCache>
                <c:formatCode>0.00</c:formatCode>
                <c:ptCount val="9"/>
                <c:pt idx="0">
                  <c:v>252.93682367478249</c:v>
                </c:pt>
                <c:pt idx="1">
                  <c:v>401.03234595093392</c:v>
                </c:pt>
                <c:pt idx="2">
                  <c:v>297.23980353873742</c:v>
                </c:pt>
                <c:pt idx="3">
                  <c:v>234.86652947390351</c:v>
                </c:pt>
                <c:pt idx="4">
                  <c:v>339.26710823610762</c:v>
                </c:pt>
                <c:pt idx="5">
                  <c:v>169.94749034593886</c:v>
                </c:pt>
                <c:pt idx="6">
                  <c:v>222.0116884749622</c:v>
                </c:pt>
                <c:pt idx="8">
                  <c:v>271.8974252231265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21-44BE-AD0E-F17752A9C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4472463"/>
        <c:axId val="1104472943"/>
      </c:barChart>
      <c:catAx>
        <c:axId val="11044724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72943"/>
        <c:crosses val="autoZero"/>
        <c:auto val="1"/>
        <c:lblAlgn val="ctr"/>
        <c:lblOffset val="100"/>
        <c:noMultiLvlLbl val="0"/>
      </c:catAx>
      <c:valAx>
        <c:axId val="1104472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724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Standard's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9651347309783961E-2"/>
                  <c:y val="0.3830992907149451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TAC!$M$23:$M$33</c:f>
              <c:numCache>
                <c:formatCode>0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25</c:v>
                </c:pt>
                <c:pt idx="3">
                  <c:v>50</c:v>
                </c:pt>
                <c:pt idx="4">
                  <c:v>75</c:v>
                </c:pt>
                <c:pt idx="5">
                  <c:v>100</c:v>
                </c:pt>
                <c:pt idx="6">
                  <c:v>200</c:v>
                </c:pt>
                <c:pt idx="7">
                  <c:v>300</c:v>
                </c:pt>
                <c:pt idx="8">
                  <c:v>400</c:v>
                </c:pt>
                <c:pt idx="9">
                  <c:v>500</c:v>
                </c:pt>
                <c:pt idx="10">
                  <c:v>750</c:v>
                </c:pt>
              </c:numCache>
            </c:numRef>
          </c:xVal>
          <c:yVal>
            <c:numRef>
              <c:f>TAC!$P$23:$P$33</c:f>
              <c:numCache>
                <c:formatCode>0.000</c:formatCode>
                <c:ptCount val="11"/>
                <c:pt idx="0">
                  <c:v>8.7499999999999994E-2</c:v>
                </c:pt>
                <c:pt idx="1">
                  <c:v>8.6999999999999994E-2</c:v>
                </c:pt>
                <c:pt idx="2">
                  <c:v>8.7499999999999994E-2</c:v>
                </c:pt>
                <c:pt idx="3">
                  <c:v>0.1065</c:v>
                </c:pt>
                <c:pt idx="4">
                  <c:v>0.14399999999999999</c:v>
                </c:pt>
                <c:pt idx="5">
                  <c:v>0.1915</c:v>
                </c:pt>
                <c:pt idx="6">
                  <c:v>0.35249999999999998</c:v>
                </c:pt>
                <c:pt idx="7">
                  <c:v>0.50900000000000001</c:v>
                </c:pt>
                <c:pt idx="8">
                  <c:v>0.59399999999999997</c:v>
                </c:pt>
                <c:pt idx="9">
                  <c:v>0.85099999999999998</c:v>
                </c:pt>
                <c:pt idx="10">
                  <c:v>1.3555000000000001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71-42FE-8063-A54040EA5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143168"/>
        <c:axId val="651144480"/>
      </c:scatterChart>
      <c:valAx>
        <c:axId val="65114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51144480"/>
        <c:crosses val="autoZero"/>
        <c:crossBetween val="midCat"/>
      </c:valAx>
      <c:valAx>
        <c:axId val="65114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5114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TAC norm PROT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ptos Display" panose="020B00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869782603705149"/>
          <c:y val="0.16383282235136593"/>
          <c:w val="0.77026177850217714"/>
          <c:h val="0.723348327885290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56-4312-B014-0F45DC68CBC6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1BF-4FC4-823B-163A391AFB98}"/>
              </c:ext>
            </c:extLst>
          </c:dPt>
          <c:dLbls>
            <c:dLbl>
              <c:idx val="0"/>
              <c:layout>
                <c:manualLayout>
                  <c:x val="-5.9912161920094089E-17"/>
                  <c:y val="-6.3725481997133224E-2"/>
                </c:manualLayout>
              </c:layout>
              <c:tx>
                <c:rich>
                  <a:bodyPr/>
                  <a:lstStyle/>
                  <a:p>
                    <a:fld id="{3CA952C9-CB48-41BF-BC76-B45C66729B0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C56-4312-B014-0F45DC68CBC6}"/>
                </c:ext>
              </c:extLst>
            </c:dLbl>
            <c:dLbl>
              <c:idx val="1"/>
              <c:layout>
                <c:manualLayout>
                  <c:x val="-1.1982432384018818E-16"/>
                  <c:y val="-6.3725481997133196E-2"/>
                </c:manualLayout>
              </c:layout>
              <c:tx>
                <c:rich>
                  <a:bodyPr/>
                  <a:lstStyle/>
                  <a:p>
                    <a:fld id="{9F9544B0-DF33-48B9-824F-599E1E1B9CBB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A8A-4A3A-B6D7-0BBD285A8699}"/>
                </c:ext>
              </c:extLst>
            </c:dLbl>
            <c:dLbl>
              <c:idx val="2"/>
              <c:layout>
                <c:manualLayout>
                  <c:x val="-1.1982432384018818E-16"/>
                  <c:y val="-5.5228751064182097E-2"/>
                </c:manualLayout>
              </c:layout>
              <c:tx>
                <c:rich>
                  <a:bodyPr/>
                  <a:lstStyle/>
                  <a:p>
                    <a:fld id="{2160E648-C751-4502-80D6-D8298C0B482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1BF-4FC4-823B-163A391AFB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TAC!$O$16:$O$18</c:f>
                <c:numCache>
                  <c:formatCode>General</c:formatCode>
                  <c:ptCount val="3"/>
                  <c:pt idx="0">
                    <c:v>1.1706007814922738E-2</c:v>
                  </c:pt>
                  <c:pt idx="1">
                    <c:v>1.3855925022782807E-2</c:v>
                  </c:pt>
                  <c:pt idx="2">
                    <c:v>1.2440993025498425E-2</c:v>
                  </c:pt>
                </c:numCache>
              </c:numRef>
            </c:plus>
            <c:minus>
              <c:numRef>
                <c:f>TAC!$O$16:$O$18</c:f>
                <c:numCache>
                  <c:formatCode>General</c:formatCode>
                  <c:ptCount val="3"/>
                  <c:pt idx="0">
                    <c:v>1.1706007814922738E-2</c:v>
                  </c:pt>
                  <c:pt idx="1">
                    <c:v>1.3855925022782807E-2</c:v>
                  </c:pt>
                  <c:pt idx="2">
                    <c:v>1.2440993025498425E-2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TAC!$M$16:$M$18</c:f>
              <c:strCache>
                <c:ptCount val="3"/>
                <c:pt idx="0">
                  <c:v>CTRL</c:v>
                </c:pt>
                <c:pt idx="1">
                  <c:v>medium polluted</c:v>
                </c:pt>
                <c:pt idx="2">
                  <c:v>highly polluted</c:v>
                </c:pt>
              </c:strCache>
            </c:strRef>
          </c:cat>
          <c:val>
            <c:numRef>
              <c:f>TAC!$N$16:$N$18</c:f>
              <c:numCache>
                <c:formatCode>0.0000</c:formatCode>
                <c:ptCount val="3"/>
                <c:pt idx="0">
                  <c:v>8.397078299533195E-2</c:v>
                </c:pt>
                <c:pt idx="1">
                  <c:v>0.11653057269423567</c:v>
                </c:pt>
                <c:pt idx="2">
                  <c:v>0.10131025258513518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TAC!$W$41:$W$43</c15:f>
                <c15:dlblRangeCache>
                  <c:ptCount val="3"/>
                  <c:pt idx="0">
                    <c:v>A</c:v>
                  </c:pt>
                  <c:pt idx="1">
                    <c:v>B</c:v>
                  </c:pt>
                  <c:pt idx="2">
                    <c:v>AB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11BF-4FC4-823B-163A391AFB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593178016"/>
        <c:axId val="182314576"/>
      </c:barChart>
      <c:catAx>
        <c:axId val="59317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82314576"/>
        <c:crosses val="autoZero"/>
        <c:auto val="1"/>
        <c:lblAlgn val="ctr"/>
        <c:lblOffset val="100"/>
        <c:noMultiLvlLbl val="0"/>
      </c:catAx>
      <c:valAx>
        <c:axId val="182314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µmol/mg PROT</a:t>
                </a:r>
              </a:p>
            </c:rich>
          </c:tx>
          <c:layout>
            <c:manualLayout>
              <c:xMode val="edge"/>
              <c:yMode val="edge"/>
              <c:x val="8.3494897959183675E-3"/>
              <c:y val="0.369645726495726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ptos Display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59317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ptos Display" panose="020B00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CTRL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TAC!$I$21:$I$25</c:f>
              <c:numCache>
                <c:formatCode>0.000</c:formatCode>
                <c:ptCount val="5"/>
                <c:pt idx="0">
                  <c:v>8.0926469975653378E-2</c:v>
                </c:pt>
                <c:pt idx="1">
                  <c:v>8.6983317630695708E-2</c:v>
                </c:pt>
                <c:pt idx="2">
                  <c:v>9.8000025556065837E-2</c:v>
                </c:pt>
                <c:pt idx="3">
                  <c:v>6.9973318818912902E-2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7-43E1-97FE-E79D6EAAB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2362271"/>
        <c:axId val="792348831"/>
      </c:barChart>
      <c:catAx>
        <c:axId val="7923622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92348831"/>
        <c:crosses val="autoZero"/>
        <c:auto val="1"/>
        <c:lblAlgn val="ctr"/>
        <c:lblOffset val="100"/>
        <c:noMultiLvlLbl val="0"/>
      </c:catAx>
      <c:valAx>
        <c:axId val="792348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7923622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Medium polluted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TAC!$I$3:$I$11</c:f>
              <c:numCache>
                <c:formatCode>0.000</c:formatCode>
                <c:ptCount val="9"/>
                <c:pt idx="0">
                  <c:v>0.12488543404821352</c:v>
                </c:pt>
                <c:pt idx="1">
                  <c:v>0.10019889481543529</c:v>
                </c:pt>
                <c:pt idx="2">
                  <c:v>0.1327059749936999</c:v>
                </c:pt>
                <c:pt idx="3">
                  <c:v>0.126789507064859</c:v>
                </c:pt>
                <c:pt idx="4">
                  <c:v>0.10890971123852027</c:v>
                </c:pt>
                <c:pt idx="5">
                  <c:v>0.10163834155011613</c:v>
                </c:pt>
                <c:pt idx="6">
                  <c:v>0.13662241459384206</c:v>
                </c:pt>
                <c:pt idx="7">
                  <c:v>0.11170283949752043</c:v>
                </c:pt>
                <c:pt idx="8">
                  <c:v>0.10532203644591437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D-4798-8FB0-A92AF2180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5791903"/>
        <c:axId val="1085775583"/>
      </c:barChart>
      <c:catAx>
        <c:axId val="108579190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775583"/>
        <c:crosses val="autoZero"/>
        <c:auto val="1"/>
        <c:lblAlgn val="ctr"/>
        <c:lblOffset val="100"/>
        <c:noMultiLvlLbl val="0"/>
      </c:catAx>
      <c:valAx>
        <c:axId val="1085775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791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Highly</a:t>
            </a:r>
            <a:r>
              <a:rPr lang="it-IT" baseline="0"/>
              <a:t> polluted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TAC!$B$12:$B$20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</c:numCache>
            </c:numRef>
          </c:cat>
          <c:val>
            <c:numRef>
              <c:f>TAC!$I$12:$I$20</c:f>
              <c:numCache>
                <c:formatCode>0.000</c:formatCode>
                <c:ptCount val="9"/>
                <c:pt idx="0">
                  <c:v>0.103360131340415</c:v>
                </c:pt>
                <c:pt idx="2">
                  <c:v>9.0787866488093241E-2</c:v>
                </c:pt>
                <c:pt idx="4">
                  <c:v>0.10884861869147773</c:v>
                </c:pt>
                <c:pt idx="5">
                  <c:v>8.582174296971308E-2</c:v>
                </c:pt>
                <c:pt idx="6">
                  <c:v>0.1212820079117046</c:v>
                </c:pt>
                <c:pt idx="7">
                  <c:v>9.2057155806319776E-2</c:v>
                </c:pt>
                <c:pt idx="8">
                  <c:v>0.10701424488822288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2-4531-A9C7-9976A4EBB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2655807"/>
        <c:axId val="382652447"/>
      </c:barChart>
      <c:catAx>
        <c:axId val="38265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2652447"/>
        <c:crosses val="autoZero"/>
        <c:auto val="1"/>
        <c:lblAlgn val="ctr"/>
        <c:lblOffset val="100"/>
        <c:noMultiLvlLbl val="0"/>
      </c:catAx>
      <c:valAx>
        <c:axId val="382652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2655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it-IT"/>
              <a:t>PC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ptos Display" panose="020B00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3822250566893424"/>
          <c:y val="0.11263119658119655"/>
          <c:w val="0.82217998866213138"/>
          <c:h val="0.7518747863247863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CCFF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BDD-4FA0-A0D6-C673CAC1A1C2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BDD-4FA0-A0D6-C673CAC1A1C2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882-4211-9CFF-5E826C3CD622}"/>
              </c:ext>
            </c:extLst>
          </c:dPt>
          <c:dLbls>
            <c:dLbl>
              <c:idx val="0"/>
              <c:layout>
                <c:manualLayout>
                  <c:x val="3.5997732426303526E-3"/>
                  <c:y val="-5.9700854700854754E-2"/>
                </c:manualLayout>
              </c:layout>
              <c:tx>
                <c:rich>
                  <a:bodyPr/>
                  <a:lstStyle/>
                  <a:p>
                    <a:fld id="{5F698519-053F-4543-A43C-927AD0D0AD3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BDD-4FA0-A0D6-C673CAC1A1C2}"/>
                </c:ext>
              </c:extLst>
            </c:dLbl>
            <c:dLbl>
              <c:idx val="1"/>
              <c:layout>
                <c:manualLayout>
                  <c:x val="0"/>
                  <c:y val="-0.11940170940170942"/>
                </c:manualLayout>
              </c:layout>
              <c:tx>
                <c:rich>
                  <a:bodyPr/>
                  <a:lstStyle/>
                  <a:p>
                    <a:fld id="{107B7A47-84DF-447F-9A36-8E877AAEE1C9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BDD-4FA0-A0D6-C673CAC1A1C2}"/>
                </c:ext>
              </c:extLst>
            </c:dLbl>
            <c:dLbl>
              <c:idx val="2"/>
              <c:layout>
                <c:manualLayout>
                  <c:x val="-1.3199016080151339E-16"/>
                  <c:y val="-8.1410256410256454E-2"/>
                </c:manualLayout>
              </c:layout>
              <c:tx>
                <c:rich>
                  <a:bodyPr/>
                  <a:lstStyle/>
                  <a:p>
                    <a:fld id="{69E3DCCE-E9A8-4089-8A80-A48090B79744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882-4211-9CFF-5E826C3CD6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PC!$P$17:$P$19</c:f>
                <c:numCache>
                  <c:formatCode>General</c:formatCode>
                  <c:ptCount val="3"/>
                  <c:pt idx="0">
                    <c:v>3.8881840645023935</c:v>
                  </c:pt>
                  <c:pt idx="1">
                    <c:v>7.1853224760034857</c:v>
                  </c:pt>
                  <c:pt idx="2">
                    <c:v>5.2278822182774007</c:v>
                  </c:pt>
                </c:numCache>
              </c:numRef>
            </c:plus>
            <c:minus>
              <c:numRef>
                <c:f>PC!$P$17:$P$19</c:f>
                <c:numCache>
                  <c:formatCode>General</c:formatCode>
                  <c:ptCount val="3"/>
                  <c:pt idx="0">
                    <c:v>3.8881840645023935</c:v>
                  </c:pt>
                  <c:pt idx="1">
                    <c:v>7.1853224760034857</c:v>
                  </c:pt>
                  <c:pt idx="2">
                    <c:v>5.2278822182774007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PC!$N$17:$N$19</c:f>
              <c:strCache>
                <c:ptCount val="3"/>
                <c:pt idx="0">
                  <c:v>CTRL</c:v>
                </c:pt>
                <c:pt idx="1">
                  <c:v>medium polluted</c:v>
                </c:pt>
                <c:pt idx="2">
                  <c:v>highly polluted</c:v>
                </c:pt>
              </c:strCache>
            </c:strRef>
          </c:cat>
          <c:val>
            <c:numRef>
              <c:f>PC!$O$17:$O$19</c:f>
              <c:numCache>
                <c:formatCode>0.00</c:formatCode>
                <c:ptCount val="3"/>
                <c:pt idx="0" formatCode="0.000">
                  <c:v>23.012538866110997</c:v>
                </c:pt>
                <c:pt idx="1">
                  <c:v>28.355244308006114</c:v>
                </c:pt>
                <c:pt idx="2">
                  <c:v>15.473841646158922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PC!$R$26:$R$28</c15:f>
                <c15:dlblRangeCache>
                  <c:ptCount val="3"/>
                  <c:pt idx="0">
                    <c:v>AB</c:v>
                  </c:pt>
                  <c:pt idx="1">
                    <c:v>A</c:v>
                  </c:pt>
                  <c:pt idx="2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BDD-4FA0-A0D6-C673CAC1A1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85771263"/>
        <c:axId val="1085779903"/>
      </c:barChart>
      <c:catAx>
        <c:axId val="1085771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85779903"/>
        <c:crosses val="autoZero"/>
        <c:auto val="1"/>
        <c:lblAlgn val="ctr"/>
        <c:lblOffset val="100"/>
        <c:noMultiLvlLbl val="0"/>
      </c:catAx>
      <c:valAx>
        <c:axId val="1085779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nmol/mg</a:t>
                </a:r>
                <a:r>
                  <a:rPr lang="en-US" baseline="0"/>
                  <a:t> PROT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2358276643990831E-4"/>
              <c:y val="0.32153547008547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ptos Display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08577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ptos Display" panose="020B00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CTRL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CCFF"/>
            </a:solidFill>
            <a:ln>
              <a:noFill/>
            </a:ln>
            <a:effectLst/>
          </c:spPr>
          <c:invertIfNegative val="0"/>
          <c:val>
            <c:numRef>
              <c:f>PC!$J$21:$J$25</c:f>
              <c:numCache>
                <c:formatCode>0.00</c:formatCode>
                <c:ptCount val="5"/>
                <c:pt idx="0">
                  <c:v>26.998967914966485</c:v>
                </c:pt>
                <c:pt idx="1">
                  <c:v>21.439971301571827</c:v>
                </c:pt>
                <c:pt idx="2">
                  <c:v>17.605935754314707</c:v>
                </c:pt>
                <c:pt idx="3">
                  <c:v>26.558020162266541</c:v>
                </c:pt>
                <c:pt idx="4">
                  <c:v>22.459799197435437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8-4D68-B4C6-A3C430EBF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4487343"/>
        <c:axId val="1104491183"/>
      </c:barChart>
      <c:catAx>
        <c:axId val="11044873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91183"/>
        <c:crosses val="autoZero"/>
        <c:auto val="1"/>
        <c:lblAlgn val="ctr"/>
        <c:lblOffset val="100"/>
        <c:noMultiLvlLbl val="0"/>
      </c:catAx>
      <c:valAx>
        <c:axId val="1104491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87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Medium polluted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val>
            <c:numRef>
              <c:f>PC!$J$3:$J$11</c:f>
              <c:numCache>
                <c:formatCode>0.00</c:formatCode>
                <c:ptCount val="9"/>
                <c:pt idx="0">
                  <c:v>23.334560883859321</c:v>
                </c:pt>
                <c:pt idx="2">
                  <c:v>43.105899219364908</c:v>
                </c:pt>
                <c:pt idx="3">
                  <c:v>34.715692286096775</c:v>
                </c:pt>
                <c:pt idx="4">
                  <c:v>29.014701089432172</c:v>
                </c:pt>
                <c:pt idx="5">
                  <c:v>23.63374093006896</c:v>
                </c:pt>
                <c:pt idx="6">
                  <c:v>26.522455853619274</c:v>
                </c:pt>
                <c:pt idx="7">
                  <c:v>23.03828200814479</c:v>
                </c:pt>
                <c:pt idx="8">
                  <c:v>23.476622193462692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4E-4591-95F5-81405DDD1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4501263"/>
        <c:axId val="1104486383"/>
      </c:barChart>
      <c:catAx>
        <c:axId val="11045012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86383"/>
        <c:crosses val="autoZero"/>
        <c:auto val="1"/>
        <c:lblAlgn val="ctr"/>
        <c:lblOffset val="100"/>
        <c:noMultiLvlLbl val="0"/>
      </c:catAx>
      <c:valAx>
        <c:axId val="1104486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501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Highly polluted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PC!$B$12:$B$20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</c:numCache>
            </c:numRef>
          </c:cat>
          <c:val>
            <c:numRef>
              <c:f>PC!$J$12:$J$20</c:f>
              <c:numCache>
                <c:formatCode>0.00</c:formatCode>
                <c:ptCount val="9"/>
                <c:pt idx="0">
                  <c:v>18.276935595203142</c:v>
                </c:pt>
                <c:pt idx="1">
                  <c:v>13.206151875228308</c:v>
                </c:pt>
                <c:pt idx="2">
                  <c:v>17.21520489672659</c:v>
                </c:pt>
                <c:pt idx="3">
                  <c:v>16.426119874722314</c:v>
                </c:pt>
                <c:pt idx="5">
                  <c:v>7.2246117779663521</c:v>
                </c:pt>
                <c:pt idx="6">
                  <c:v>15.01808301414272</c:v>
                </c:pt>
                <c:pt idx="7">
                  <c:v>11.46178156107567</c:v>
                </c:pt>
                <c:pt idx="8">
                  <c:v>24.9618445742063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7-45BB-B9C0-51625205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4500303"/>
        <c:axId val="1104483983"/>
      </c:barChart>
      <c:catAx>
        <c:axId val="1104500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483983"/>
        <c:crosses val="autoZero"/>
        <c:auto val="1"/>
        <c:lblAlgn val="ctr"/>
        <c:lblOffset val="100"/>
        <c:noMultiLvlLbl val="0"/>
      </c:catAx>
      <c:valAx>
        <c:axId val="11044839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104500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PROT mg/mL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PROT!$G$5:$G$27</c:f>
              <c:numCache>
                <c:formatCode>0.00</c:formatCode>
                <c:ptCount val="23"/>
                <c:pt idx="0">
                  <c:v>52.108608790410457</c:v>
                </c:pt>
                <c:pt idx="1">
                  <c:v>45.243370868143835</c:v>
                </c:pt>
                <c:pt idx="2">
                  <c:v>42.918634217217573</c:v>
                </c:pt>
                <c:pt idx="3">
                  <c:v>40.957137667998545</c:v>
                </c:pt>
                <c:pt idx="4">
                  <c:v>45.061750817290225</c:v>
                </c:pt>
                <c:pt idx="5">
                  <c:v>47.02324736650926</c:v>
                </c:pt>
                <c:pt idx="6">
                  <c:v>48.803123864874685</c:v>
                </c:pt>
                <c:pt idx="7">
                  <c:v>44.407918634217218</c:v>
                </c:pt>
                <c:pt idx="8">
                  <c:v>46.224119142753359</c:v>
                </c:pt>
                <c:pt idx="9">
                  <c:v>43.100254268071197</c:v>
                </c:pt>
                <c:pt idx="10">
                  <c:v>41.828913912095892</c:v>
                </c:pt>
                <c:pt idx="11">
                  <c:v>43.100254268071197</c:v>
                </c:pt>
                <c:pt idx="12">
                  <c:v>45.170722847802402</c:v>
                </c:pt>
                <c:pt idx="13">
                  <c:v>46.224119142753359</c:v>
                </c:pt>
                <c:pt idx="14">
                  <c:v>50.219760261532869</c:v>
                </c:pt>
                <c:pt idx="15">
                  <c:v>38.52342898656012</c:v>
                </c:pt>
                <c:pt idx="16">
                  <c:v>46.768979295314203</c:v>
                </c:pt>
                <c:pt idx="17">
                  <c:v>41.247729749364325</c:v>
                </c:pt>
                <c:pt idx="18">
                  <c:v>34.382491827097709</c:v>
                </c:pt>
                <c:pt idx="19">
                  <c:v>44.516890664729381</c:v>
                </c:pt>
                <c:pt idx="20">
                  <c:v>42.700690156193247</c:v>
                </c:pt>
                <c:pt idx="21">
                  <c:v>44.553214674900104</c:v>
                </c:pt>
                <c:pt idx="22">
                  <c:v>34.636759898292773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6F-4AB9-A499-7BE79D9D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5714224"/>
        <c:axId val="1345714704"/>
      </c:barChart>
      <c:catAx>
        <c:axId val="13457142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45714704"/>
        <c:crosses val="autoZero"/>
        <c:auto val="1"/>
        <c:lblAlgn val="ctr"/>
        <c:lblOffset val="100"/>
        <c:noMultiLvlLbl val="0"/>
      </c:catAx>
      <c:valAx>
        <c:axId val="1345714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4571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ptos Narrow"/>
                <a:ea typeface="Aptos Narrow"/>
                <a:cs typeface="Aptos Narrow"/>
              </a:defRPr>
            </a:pPr>
            <a:r>
              <a:rPr lang="it-IT"/>
              <a:t>Standard curve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Aptos Narrow"/>
                      <a:ea typeface="Aptos Narrow"/>
                      <a:cs typeface="Aptos Narrow"/>
                    </a:defRPr>
                  </a:pPr>
                  <a:endParaRPr lang="it-IT"/>
                </a:p>
              </c:txPr>
            </c:trendlineLbl>
          </c:trendline>
          <c:xVal>
            <c:numRef>
              <c:f>SOD!$E$33:$E$38</c:f>
              <c:numCache>
                <c:formatCode>General</c:formatCode>
                <c:ptCount val="6"/>
                <c:pt idx="0">
                  <c:v>0.03</c:v>
                </c:pt>
                <c:pt idx="1">
                  <c:v>0.06</c:v>
                </c:pt>
                <c:pt idx="2">
                  <c:v>0.09</c:v>
                </c:pt>
                <c:pt idx="3">
                  <c:v>0.15</c:v>
                </c:pt>
                <c:pt idx="4">
                  <c:v>0.3</c:v>
                </c:pt>
                <c:pt idx="5">
                  <c:v>0.6</c:v>
                </c:pt>
              </c:numCache>
            </c:numRef>
          </c:xVal>
          <c:yVal>
            <c:numRef>
              <c:f>SOD!$F$33:$F$38</c:f>
              <c:numCache>
                <c:formatCode>General</c:formatCode>
                <c:ptCount val="6"/>
                <c:pt idx="0">
                  <c:v>1.6565755701979001</c:v>
                </c:pt>
                <c:pt idx="1">
                  <c:v>2.5200358679507571</c:v>
                </c:pt>
                <c:pt idx="2">
                  <c:v>3.3427212228480854</c:v>
                </c:pt>
                <c:pt idx="3">
                  <c:v>5.4088574491603083</c:v>
                </c:pt>
                <c:pt idx="4">
                  <c:v>9.6639906095343857</c:v>
                </c:pt>
                <c:pt idx="5">
                  <c:v>19.828236580670598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69-4CC0-A707-1D5FDBDAC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067344"/>
        <c:axId val="1"/>
      </c:scatterChart>
      <c:valAx>
        <c:axId val="742067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ptos Narrow"/>
                <a:ea typeface="Aptos Narrow"/>
                <a:cs typeface="Aptos Narrow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ptos Narrow"/>
                <a:ea typeface="Aptos Narrow"/>
                <a:cs typeface="Aptos Narrow"/>
              </a:defRPr>
            </a:pPr>
            <a:endParaRPr lang="it-IT"/>
          </a:p>
        </c:txPr>
        <c:crossAx val="7420673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ptos Narrow"/>
          <a:ea typeface="Aptos Narrow"/>
          <a:cs typeface="Aptos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ptos Narrow"/>
                <a:ea typeface="Aptos Narrow"/>
                <a:cs typeface="Aptos Narrow"/>
              </a:defRPr>
            </a:pPr>
            <a:r>
              <a:rPr lang="it-IT"/>
              <a:t>Standard curve</a:t>
            </a:r>
          </a:p>
        </c:rich>
      </c:tx>
      <c:layout>
        <c:manualLayout>
          <c:xMode val="edge"/>
          <c:yMode val="edge"/>
          <c:x val="0.31638762049720953"/>
          <c:y val="3.115253975605990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Aptos Narrow"/>
                      <a:ea typeface="Aptos Narrow"/>
                      <a:cs typeface="Aptos Narrow"/>
                    </a:defRPr>
                  </a:pPr>
                  <a:endParaRPr lang="it-IT"/>
                </a:p>
              </c:txPr>
            </c:trendlineLbl>
          </c:trendline>
          <c:xVal>
            <c:numRef>
              <c:f>'[4]SOD results'!$S$66:$S$71</c:f>
              <c:numCache>
                <c:formatCode>General</c:formatCode>
                <c:ptCount val="6"/>
                <c:pt idx="0">
                  <c:v>0.03</c:v>
                </c:pt>
                <c:pt idx="1">
                  <c:v>0.06</c:v>
                </c:pt>
                <c:pt idx="2">
                  <c:v>0.09</c:v>
                </c:pt>
                <c:pt idx="3">
                  <c:v>0.15</c:v>
                </c:pt>
                <c:pt idx="4">
                  <c:v>0.3</c:v>
                </c:pt>
                <c:pt idx="5">
                  <c:v>0.6</c:v>
                </c:pt>
              </c:numCache>
            </c:numRef>
          </c:xVal>
          <c:yVal>
            <c:numRef>
              <c:f>'[4]SOD results'!$T$66:$T$71</c:f>
              <c:numCache>
                <c:formatCode>General</c:formatCode>
                <c:ptCount val="6"/>
                <c:pt idx="0">
                  <c:v>1.388505707085077</c:v>
                </c:pt>
                <c:pt idx="1">
                  <c:v>1.8527607508796222</c:v>
                </c:pt>
                <c:pt idx="2">
                  <c:v>2.5861084951816462</c:v>
                </c:pt>
                <c:pt idx="3">
                  <c:v>4.0582307941013376</c:v>
                </c:pt>
                <c:pt idx="4">
                  <c:v>7.472165333665564</c:v>
                </c:pt>
                <c:pt idx="5">
                  <c:v>14.476698333123512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31A-4BFE-B66B-F260EB444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2114384"/>
        <c:axId val="1"/>
      </c:scatterChart>
      <c:valAx>
        <c:axId val="74211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ptos Narrow"/>
                <a:ea typeface="Aptos Narrow"/>
                <a:cs typeface="Aptos Narrow"/>
              </a:defRPr>
            </a:pPr>
            <a:endParaRPr lang="it-IT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ptos Narrow"/>
                <a:ea typeface="Aptos Narrow"/>
                <a:cs typeface="Aptos Narrow"/>
              </a:defRPr>
            </a:pPr>
            <a:endParaRPr lang="it-IT"/>
          </a:p>
        </c:txPr>
        <c:crossAx val="74211438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ptos Narrow"/>
          <a:ea typeface="Aptos Narrow"/>
          <a:cs typeface="Aptos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Aptos Narrow"/>
                <a:ea typeface="Aptos Narrow"/>
                <a:cs typeface="Aptos Narrow"/>
              </a:defRPr>
            </a:pPr>
            <a:r>
              <a:rPr lang="it-IT"/>
              <a:t>SOD activity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50575707634854"/>
          <c:y val="0.17171296296296298"/>
          <c:w val="0.87692341839933852"/>
          <c:h val="0.721258019830854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solidFill>
                <a:srgbClr val="00206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6CCFF"/>
              </a:solidFill>
              <a:ln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836-427E-B92F-17540DEF710C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F836-427E-B92F-17540DEF710C}"/>
              </c:ext>
            </c:extLst>
          </c:dPt>
          <c:errBars>
            <c:errBarType val="plus"/>
            <c:errValType val="cust"/>
            <c:noEndCap val="0"/>
            <c:plus>
              <c:numRef>
                <c:f>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SOD!$AN$3:$AN$5</c:f>
              <c:strCache>
                <c:ptCount val="3"/>
                <c:pt idx="0">
                  <c:v>CTRL</c:v>
                </c:pt>
                <c:pt idx="1">
                  <c:v>Medium polluted</c:v>
                </c:pt>
                <c:pt idx="2">
                  <c:v>Highly polluted</c:v>
                </c:pt>
              </c:strCache>
            </c:strRef>
          </c:cat>
          <c:val>
            <c:numRef>
              <c:f>SOD!$AO$3:$AO$5</c:f>
              <c:numCache>
                <c:formatCode>0.00</c:formatCode>
                <c:ptCount val="3"/>
                <c:pt idx="0">
                  <c:v>16.683152571156178</c:v>
                </c:pt>
                <c:pt idx="1">
                  <c:v>11.002265535455081</c:v>
                </c:pt>
                <c:pt idx="2">
                  <c:v>9.0654828416288176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36-427E-B92F-17540DEF7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0870112"/>
        <c:axId val="1"/>
      </c:barChart>
      <c:catAx>
        <c:axId val="102087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ptos Narrow"/>
                <a:ea typeface="Aptos Narrow"/>
                <a:cs typeface="Aptos Narrow"/>
              </a:defRPr>
            </a:pPr>
            <a:endParaRPr lang="it-I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ln w="1270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Aptos Narrow"/>
                <a:ea typeface="Aptos Narrow"/>
                <a:cs typeface="Aptos Narrow"/>
              </a:defRPr>
            </a:pPr>
            <a:endParaRPr lang="it-IT"/>
          </a:p>
        </c:txPr>
        <c:crossAx val="1020870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ptos Narrow"/>
          <a:ea typeface="Aptos Narrow"/>
          <a:cs typeface="Aptos Narrow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curve chloramine 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AOPP!$Q$34</c:f>
              <c:strCache>
                <c:ptCount val="1"/>
                <c:pt idx="0">
                  <c:v>Abs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6082524059492564"/>
                  <c:y val="0.3699537037037037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AOPP!$P$35:$P$41</c:f>
              <c:numCache>
                <c:formatCode>General</c:formatCode>
                <c:ptCount val="7"/>
                <c:pt idx="0">
                  <c:v>3.125</c:v>
                </c:pt>
                <c:pt idx="1">
                  <c:v>6.25</c:v>
                </c:pt>
                <c:pt idx="2">
                  <c:v>12.5</c:v>
                </c:pt>
                <c:pt idx="3">
                  <c:v>25</c:v>
                </c:pt>
                <c:pt idx="4">
                  <c:v>50</c:v>
                </c:pt>
                <c:pt idx="5">
                  <c:v>100</c:v>
                </c:pt>
                <c:pt idx="6">
                  <c:v>200</c:v>
                </c:pt>
              </c:numCache>
            </c:numRef>
          </c:xVal>
          <c:yVal>
            <c:numRef>
              <c:f>AOPP!$Q$35:$Q$41</c:f>
              <c:numCache>
                <c:formatCode>0.0000</c:formatCode>
                <c:ptCount val="7"/>
                <c:pt idx="0">
                  <c:v>3.6900006234645844E-2</c:v>
                </c:pt>
                <c:pt idx="1">
                  <c:v>7.5199998915195465E-2</c:v>
                </c:pt>
                <c:pt idx="2">
                  <c:v>0.14405000954866409</c:v>
                </c:pt>
                <c:pt idx="3">
                  <c:v>0.29540000110864639</c:v>
                </c:pt>
                <c:pt idx="4">
                  <c:v>0.58980002254247665</c:v>
                </c:pt>
                <c:pt idx="5">
                  <c:v>1.1051499769091606</c:v>
                </c:pt>
                <c:pt idx="6">
                  <c:v>2.2528499290347099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A3-4235-BB77-130737B40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9593728"/>
        <c:axId val="329594208"/>
      </c:scatterChart>
      <c:valAx>
        <c:axId val="32959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conc (µmol/L, nmol/mL)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9594208"/>
        <c:crosses val="autoZero"/>
        <c:crossBetween val="midCat"/>
      </c:valAx>
      <c:valAx>
        <c:axId val="32959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Abs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29593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Yu Mincho Demibold" panose="020B0400000000000000" pitchFamily="18" charset="-128"/>
                <a:cs typeface="Arial" panose="020B0604020202020204" pitchFamily="34" charset="0"/>
              </a:defRPr>
            </a:pPr>
            <a:r>
              <a:rPr lang="it-IT"/>
              <a:t>AOPP</a:t>
            </a:r>
            <a:r>
              <a:rPr lang="it-IT" baseline="0"/>
              <a:t> 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Yu Mincho Demibold" panose="020B0400000000000000" pitchFamily="18" charset="-128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CCFF"/>
            </a:solidFill>
            <a:ln w="12700" cap="rnd">
              <a:solidFill>
                <a:srgbClr val="00206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70C0"/>
              </a:solidFill>
              <a:ln w="12700" cap="rnd"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D8-45E4-B8A4-FE25D89AE1ED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 w="12700" cap="rnd"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D8-45E4-B8A4-FE25D89AE1ED}"/>
              </c:ext>
            </c:extLst>
          </c:dPt>
          <c:dLbls>
            <c:dLbl>
              <c:idx val="0"/>
              <c:layout>
                <c:manualLayout>
                  <c:x val="0"/>
                  <c:y val="-2.860360360360369E-2"/>
                </c:manualLayout>
              </c:layout>
              <c:tx>
                <c:rich>
                  <a:bodyPr/>
                  <a:lstStyle/>
                  <a:p>
                    <a:fld id="{2248E143-EC4C-44D0-9F8E-607CC2537120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FD8-45E4-B8A4-FE25D89AE1ED}"/>
                </c:ext>
              </c:extLst>
            </c:dLbl>
            <c:dLbl>
              <c:idx val="1"/>
              <c:layout>
                <c:manualLayout>
                  <c:x val="0"/>
                  <c:y val="-4.2905405405405495E-2"/>
                </c:manualLayout>
              </c:layout>
              <c:tx>
                <c:rich>
                  <a:bodyPr/>
                  <a:lstStyle/>
                  <a:p>
                    <a:fld id="{59A8886F-2101-494A-88E2-D3A20AA3755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FD8-45E4-B8A4-FE25D89AE1ED}"/>
                </c:ext>
              </c:extLst>
            </c:dLbl>
            <c:dLbl>
              <c:idx val="2"/>
              <c:layout>
                <c:manualLayout>
                  <c:x val="-1.1446934299600276E-16"/>
                  <c:y val="-0.11441441441441445"/>
                </c:manualLayout>
              </c:layout>
              <c:tx>
                <c:rich>
                  <a:bodyPr/>
                  <a:lstStyle/>
                  <a:p>
                    <a:fld id="{658179A3-10D0-4A06-88C4-C3E886A45EB6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FD8-45E4-B8A4-FE25D89AE1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Yu Mincho Demibold" panose="020B0400000000000000" pitchFamily="18" charset="-128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AOPP!$R$53:$R$55</c:f>
                <c:numCache>
                  <c:formatCode>General</c:formatCode>
                  <c:ptCount val="3"/>
                  <c:pt idx="0">
                    <c:v>16.796915131741095</c:v>
                  </c:pt>
                  <c:pt idx="1">
                    <c:v>12.099841541838282</c:v>
                  </c:pt>
                  <c:pt idx="2">
                    <c:v>43.275703798785649</c:v>
                  </c:pt>
                </c:numCache>
              </c:numRef>
            </c:plus>
            <c:minus>
              <c:numRef>
                <c:f>AOPP!$R$53:$R$55</c:f>
                <c:numCache>
                  <c:formatCode>General</c:formatCode>
                  <c:ptCount val="3"/>
                  <c:pt idx="0">
                    <c:v>16.796915131741095</c:v>
                  </c:pt>
                  <c:pt idx="1">
                    <c:v>12.099841541838282</c:v>
                  </c:pt>
                  <c:pt idx="2">
                    <c:v>43.275703798785649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AOPP!$P$53:$P$55</c:f>
              <c:strCache>
                <c:ptCount val="3"/>
                <c:pt idx="0">
                  <c:v>CTRL</c:v>
                </c:pt>
                <c:pt idx="1">
                  <c:v>medium polluted</c:v>
                </c:pt>
                <c:pt idx="2">
                  <c:v>highly polluted</c:v>
                </c:pt>
              </c:strCache>
            </c:strRef>
          </c:cat>
          <c:val>
            <c:numRef>
              <c:f>AOPP!$Q$53:$Q$55</c:f>
              <c:numCache>
                <c:formatCode>0.000</c:formatCode>
                <c:ptCount val="3"/>
                <c:pt idx="0">
                  <c:v>94.341676105748505</c:v>
                </c:pt>
                <c:pt idx="1">
                  <c:v>108.4948501781742</c:v>
                </c:pt>
                <c:pt idx="2">
                  <c:v>210.32480411590004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AOPP!$U$53:$U$55</c15:f>
                <c15:dlblRangeCache>
                  <c:ptCount val="3"/>
                  <c:pt idx="0">
                    <c:v>A</c:v>
                  </c:pt>
                  <c:pt idx="1">
                    <c:v>A</c:v>
                  </c:pt>
                  <c:pt idx="2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BFD8-45E4-B8A4-FE25D89AE1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507814032"/>
        <c:axId val="1507814512"/>
      </c:barChart>
      <c:catAx>
        <c:axId val="150781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Yu Mincho Demibold" panose="020B0400000000000000" pitchFamily="18" charset="-128"/>
                <a:cs typeface="Arial" panose="020B0604020202020204" pitchFamily="34" charset="0"/>
              </a:defRPr>
            </a:pPr>
            <a:endParaRPr lang="it-IT"/>
          </a:p>
        </c:txPr>
        <c:crossAx val="1507814512"/>
        <c:crosses val="autoZero"/>
        <c:auto val="1"/>
        <c:lblAlgn val="ctr"/>
        <c:lblOffset val="100"/>
        <c:noMultiLvlLbl val="0"/>
      </c:catAx>
      <c:valAx>
        <c:axId val="150781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Yu Mincho Demibold" panose="020B0400000000000000" pitchFamily="18" charset="-128"/>
                    <a:cs typeface="Arial" panose="020B0604020202020204" pitchFamily="34" charset="0"/>
                  </a:defRPr>
                </a:pPr>
                <a:r>
                  <a:rPr lang="it-IT"/>
                  <a:t>chloramine-T eq. (µmol/mg proteins)</a:t>
                </a:r>
              </a:p>
            </c:rich>
          </c:tx>
          <c:layout>
            <c:manualLayout>
              <c:xMode val="edge"/>
              <c:yMode val="edge"/>
              <c:x val="1.3888888888888888E-2"/>
              <c:y val="0.1148381452318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Yu Mincho Demibold" panose="020B0400000000000000" pitchFamily="18" charset="-128"/>
                  <a:cs typeface="Arial" panose="020B0604020202020204" pitchFamily="34" charset="0"/>
                </a:defRPr>
              </a:pPr>
              <a:endParaRPr lang="it-I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Yu Mincho Demibold" panose="020B0400000000000000" pitchFamily="18" charset="-128"/>
                <a:cs typeface="Arial" panose="020B0604020202020204" pitchFamily="34" charset="0"/>
              </a:defRPr>
            </a:pPr>
            <a:endParaRPr lang="it-IT"/>
          </a:p>
        </c:txPr>
        <c:crossAx val="1507814032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ea typeface="Yu Mincho Demibold" panose="020B0400000000000000" pitchFamily="18" charset="-128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CTRL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CCFF"/>
            </a:solidFill>
            <a:ln>
              <a:noFill/>
            </a:ln>
            <a:effectLst/>
          </c:spPr>
          <c:invertIfNegative val="0"/>
          <c:cat>
            <c:strRef>
              <c:f>(AOPP!$I$60:$I$64,AOPP!$K$57:$K$61)</c:f>
              <c:strCache>
                <c:ptCount val="10"/>
                <c:pt idx="0">
                  <c:v>C1</c:v>
                </c:pt>
                <c:pt idx="1">
                  <c:v>C2</c:v>
                </c:pt>
                <c:pt idx="2">
                  <c:v>C3</c:v>
                </c:pt>
                <c:pt idx="3">
                  <c:v>C4</c:v>
                </c:pt>
                <c:pt idx="4">
                  <c:v>C5</c:v>
                </c:pt>
                <c:pt idx="5">
                  <c:v>C6</c:v>
                </c:pt>
                <c:pt idx="6">
                  <c:v>C7</c:v>
                </c:pt>
                <c:pt idx="7">
                  <c:v>C8</c:v>
                </c:pt>
                <c:pt idx="8">
                  <c:v>C9</c:v>
                </c:pt>
                <c:pt idx="9">
                  <c:v>C10</c:v>
                </c:pt>
              </c:strCache>
            </c:strRef>
          </c:cat>
          <c:val>
            <c:numRef>
              <c:f>(AOPP!$J$60:$J$64,AOPP!$L$57:$L$61)</c:f>
              <c:numCache>
                <c:formatCode>0.00</c:formatCode>
                <c:ptCount val="10"/>
                <c:pt idx="0">
                  <c:v>118.08869364124909</c:v>
                </c:pt>
                <c:pt idx="1">
                  <c:v>74.705574253053598</c:v>
                </c:pt>
                <c:pt idx="2">
                  <c:v>108.53559893150978</c:v>
                </c:pt>
                <c:pt idx="3">
                  <c:v>115.72249405436334</c:v>
                </c:pt>
                <c:pt idx="4">
                  <c:v>96.517612971924038</c:v>
                </c:pt>
                <c:pt idx="5">
                  <c:v>91.529011214368637</c:v>
                </c:pt>
                <c:pt idx="6">
                  <c:v>103.70254320762017</c:v>
                </c:pt>
                <c:pt idx="7">
                  <c:v>82.367019566258605</c:v>
                </c:pt>
                <c:pt idx="8">
                  <c:v>79.566443634949678</c:v>
                </c:pt>
                <c:pt idx="9">
                  <c:v>72.681769582188153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8-4669-AAAD-844C96B5A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5661391"/>
        <c:axId val="1075661871"/>
      </c:barChart>
      <c:catAx>
        <c:axId val="107566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75661871"/>
        <c:crosses val="autoZero"/>
        <c:auto val="1"/>
        <c:lblAlgn val="ctr"/>
        <c:lblOffset val="100"/>
        <c:noMultiLvlLbl val="0"/>
      </c:catAx>
      <c:valAx>
        <c:axId val="107566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7566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medium</a:t>
            </a:r>
            <a:r>
              <a:rPr lang="it-IT" baseline="0"/>
              <a:t> polluted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AOPP!$E$57:$E$64</c:f>
              <c:strCache>
                <c:ptCount val="8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  <c:pt idx="6">
                  <c:v>A7</c:v>
                </c:pt>
                <c:pt idx="7">
                  <c:v>A8</c:v>
                </c:pt>
              </c:strCache>
            </c:strRef>
          </c:cat>
          <c:val>
            <c:numRef>
              <c:f>(AOPP!$F$57:$F$64,AOPP!$H$57)</c:f>
              <c:numCache>
                <c:formatCode>0.00</c:formatCode>
                <c:ptCount val="9"/>
                <c:pt idx="0">
                  <c:v>90.818646278654896</c:v>
                </c:pt>
                <c:pt idx="1">
                  <c:v>128.72846405586904</c:v>
                </c:pt>
                <c:pt idx="2">
                  <c:v>118.58859128859507</c:v>
                </c:pt>
                <c:pt idx="3">
                  <c:v>112.3495304698635</c:v>
                </c:pt>
                <c:pt idx="4">
                  <c:v>96.207196247477668</c:v>
                </c:pt>
                <c:pt idx="5">
                  <c:v>105.61787952691132</c:v>
                </c:pt>
                <c:pt idx="6">
                  <c:v>111.43609226796168</c:v>
                </c:pt>
                <c:pt idx="8">
                  <c:v>104.21240129006031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A-4627-8EBE-2A444755D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5661391"/>
        <c:axId val="1075661871"/>
      </c:barChart>
      <c:catAx>
        <c:axId val="107566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75661871"/>
        <c:crosses val="autoZero"/>
        <c:auto val="1"/>
        <c:lblAlgn val="ctr"/>
        <c:lblOffset val="100"/>
        <c:noMultiLvlLbl val="0"/>
      </c:catAx>
      <c:valAx>
        <c:axId val="107566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7566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highly</a:t>
            </a:r>
            <a:r>
              <a:rPr lang="it-IT" baseline="0"/>
              <a:t> polluted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(AOPP!$G$58:$G$64,AOPP!$I$57:$I$59)</c:f>
              <c:strCache>
                <c:ptCount val="10"/>
                <c:pt idx="0">
                  <c:v>B1</c:v>
                </c:pt>
                <c:pt idx="1">
                  <c:v>B2</c:v>
                </c:pt>
                <c:pt idx="2">
                  <c:v>B3</c:v>
                </c:pt>
                <c:pt idx="3">
                  <c:v>B4</c:v>
                </c:pt>
                <c:pt idx="4">
                  <c:v>B5</c:v>
                </c:pt>
                <c:pt idx="5">
                  <c:v>B6</c:v>
                </c:pt>
                <c:pt idx="6">
                  <c:v>B7</c:v>
                </c:pt>
                <c:pt idx="7">
                  <c:v>B8</c:v>
                </c:pt>
                <c:pt idx="8">
                  <c:v>B9</c:v>
                </c:pt>
                <c:pt idx="9">
                  <c:v>B10</c:v>
                </c:pt>
              </c:strCache>
            </c:strRef>
          </c:cat>
          <c:val>
            <c:numRef>
              <c:f>(AOPP!$H$58:$H$64,AOPP!$J$57:$J$59)</c:f>
              <c:numCache>
                <c:formatCode>0.00</c:formatCode>
                <c:ptCount val="10"/>
                <c:pt idx="0">
                  <c:v>236.93529921811688</c:v>
                </c:pt>
                <c:pt idx="1">
                  <c:v>190.07554921032224</c:v>
                </c:pt>
                <c:pt idx="2">
                  <c:v>292.72448177330978</c:v>
                </c:pt>
                <c:pt idx="3">
                  <c:v>181.3601614798078</c:v>
                </c:pt>
                <c:pt idx="4">
                  <c:v>170.02781060273023</c:v>
                </c:pt>
                <c:pt idx="5">
                  <c:v>167.38925634080869</c:v>
                </c:pt>
                <c:pt idx="6">
                  <c:v>173.80041222050988</c:v>
                </c:pt>
                <c:pt idx="7">
                  <c:v>211.95695016855569</c:v>
                </c:pt>
                <c:pt idx="8">
                  <c:v>267.80123920628927</c:v>
                </c:pt>
                <c:pt idx="9">
                  <c:v>211.17688093855014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9-4D0E-9456-BBFF9AB37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5661391"/>
        <c:axId val="1075661871"/>
      </c:barChart>
      <c:catAx>
        <c:axId val="107566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75661871"/>
        <c:crosses val="autoZero"/>
        <c:auto val="1"/>
        <c:lblAlgn val="ctr"/>
        <c:lblOffset val="100"/>
        <c:noMultiLvlLbl val="0"/>
      </c:catAx>
      <c:valAx>
        <c:axId val="10756618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7566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LPO!$C$45</c:f>
              <c:strCache>
                <c:ptCount val="1"/>
                <c:pt idx="0">
                  <c:v>Abs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6734251968503938E-2"/>
                  <c:y val="0.43013888888888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LPO!$B$46:$B$53</c:f>
              <c:numCache>
                <c:formatCode>General</c:formatCode>
                <c:ptCount val="8"/>
                <c:pt idx="0">
                  <c:v>125</c:v>
                </c:pt>
                <c:pt idx="1">
                  <c:v>62.5</c:v>
                </c:pt>
                <c:pt idx="2">
                  <c:v>31.25</c:v>
                </c:pt>
                <c:pt idx="3">
                  <c:v>15.63</c:v>
                </c:pt>
                <c:pt idx="4">
                  <c:v>7.81</c:v>
                </c:pt>
                <c:pt idx="5">
                  <c:v>3.91</c:v>
                </c:pt>
                <c:pt idx="6">
                  <c:v>1.95</c:v>
                </c:pt>
                <c:pt idx="7">
                  <c:v>0.98</c:v>
                </c:pt>
              </c:numCache>
            </c:numRef>
          </c:xVal>
          <c:yVal>
            <c:numRef>
              <c:f>LPO!$C$46:$C$53</c:f>
              <c:numCache>
                <c:formatCode>0.0000</c:formatCode>
                <c:ptCount val="8"/>
                <c:pt idx="0">
                  <c:v>1.8601000000000001</c:v>
                </c:pt>
                <c:pt idx="1">
                  <c:v>1.0134500000000002</c:v>
                </c:pt>
                <c:pt idx="2">
                  <c:v>0.46145000000000003</c:v>
                </c:pt>
                <c:pt idx="3">
                  <c:v>0.2641</c:v>
                </c:pt>
                <c:pt idx="4">
                  <c:v>0.12545000000000001</c:v>
                </c:pt>
                <c:pt idx="5">
                  <c:v>6.5099999999999991E-2</c:v>
                </c:pt>
                <c:pt idx="6">
                  <c:v>4.2049999999999997E-2</c:v>
                </c:pt>
                <c:pt idx="7">
                  <c:v>2.3799999999999995E-2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64-40C9-909E-2D232AA89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434400"/>
        <c:axId val="1383427680"/>
      </c:scatterChart>
      <c:valAx>
        <c:axId val="138343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MDA conc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3427680"/>
        <c:crosses val="autoZero"/>
        <c:crossBetween val="midCat"/>
      </c:valAx>
      <c:valAx>
        <c:axId val="138342768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Abs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3434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6.6734251968503938E-2"/>
                  <c:y val="0.430138888888888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LPO!$L$46:$L$53</c:f>
              <c:numCache>
                <c:formatCode>General</c:formatCode>
                <c:ptCount val="8"/>
                <c:pt idx="0">
                  <c:v>125</c:v>
                </c:pt>
                <c:pt idx="1">
                  <c:v>62.5</c:v>
                </c:pt>
                <c:pt idx="2">
                  <c:v>31.25</c:v>
                </c:pt>
                <c:pt idx="3">
                  <c:v>15.63</c:v>
                </c:pt>
                <c:pt idx="4">
                  <c:v>7.81</c:v>
                </c:pt>
                <c:pt idx="5">
                  <c:v>3.91</c:v>
                </c:pt>
                <c:pt idx="6">
                  <c:v>1.95</c:v>
                </c:pt>
                <c:pt idx="7">
                  <c:v>0.98</c:v>
                </c:pt>
              </c:numCache>
            </c:numRef>
          </c:xVal>
          <c:yVal>
            <c:numRef>
              <c:f>LPO!$M$46:$M$53</c:f>
              <c:numCache>
                <c:formatCode>0.0000</c:formatCode>
                <c:ptCount val="8"/>
                <c:pt idx="0">
                  <c:v>1.8612500000000001</c:v>
                </c:pt>
                <c:pt idx="1">
                  <c:v>0.9554999999999999</c:v>
                </c:pt>
                <c:pt idx="2">
                  <c:v>0.46894999999999998</c:v>
                </c:pt>
                <c:pt idx="3">
                  <c:v>0.25690000000000002</c:v>
                </c:pt>
                <c:pt idx="4">
                  <c:v>0.12445000000000001</c:v>
                </c:pt>
                <c:pt idx="5">
                  <c:v>8.0000000000000016E-2</c:v>
                </c:pt>
                <c:pt idx="6">
                  <c:v>3.6400000000000016E-2</c:v>
                </c:pt>
                <c:pt idx="7">
                  <c:v>2.495E-2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781-4C74-80E2-95A577F28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434400"/>
        <c:axId val="1383427680"/>
      </c:scatterChart>
      <c:valAx>
        <c:axId val="138343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MDA conc (µM)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3427680"/>
        <c:crosses val="autoZero"/>
        <c:crossBetween val="midCat"/>
      </c:valAx>
      <c:valAx>
        <c:axId val="1383427680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/>
                  <a:t>Abs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83434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ptos Display" panose="020B0004020202020204" pitchFamily="34" charset="0"/>
              <a:ea typeface="+mn-ea"/>
              <a:cs typeface="Arial" panose="020B0604020202020204" pitchFamily="34" charset="0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17987489265425682"/>
          <c:y val="0.1185535487125698"/>
          <c:w val="0.78821452621022903"/>
          <c:h val="0.7659752136752138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CCFF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66-4D04-9896-B7AF62A811A1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066-4D04-9896-B7AF62A811A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066-4D04-9896-B7AF62A811A1}"/>
              </c:ext>
            </c:extLst>
          </c:dPt>
          <c:dLbls>
            <c:dLbl>
              <c:idx val="0"/>
              <c:layout>
                <c:manualLayout>
                  <c:x val="0"/>
                  <c:y val="-9.4004761904761952E-2"/>
                </c:manualLayout>
              </c:layout>
              <c:tx>
                <c:rich>
                  <a:bodyPr/>
                  <a:lstStyle/>
                  <a:p>
                    <a:fld id="{72CAE7ED-7D7E-4DBF-A48C-A1273049EC2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066-4D04-9896-B7AF62A811A1}"/>
                </c:ext>
              </c:extLst>
            </c:dLbl>
            <c:dLbl>
              <c:idx val="1"/>
              <c:layout>
                <c:manualLayout>
                  <c:x val="0"/>
                  <c:y val="-5.0769243069471365E-2"/>
                </c:manualLayout>
              </c:layout>
              <c:tx>
                <c:rich>
                  <a:bodyPr/>
                  <a:lstStyle/>
                  <a:p>
                    <a:fld id="{D429FAA7-0092-4726-A1F6-4EB8FDEE4B7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066-4D04-9896-B7AF62A811A1}"/>
                </c:ext>
              </c:extLst>
            </c:dLbl>
            <c:dLbl>
              <c:idx val="2"/>
              <c:layout>
                <c:manualLayout>
                  <c:x val="0"/>
                  <c:y val="-5.0769243069471365E-2"/>
                </c:manualLayout>
              </c:layout>
              <c:tx>
                <c:rich>
                  <a:bodyPr/>
                  <a:lstStyle/>
                  <a:p>
                    <a:fld id="{74CCD3E4-9845-4012-AB8A-ED2DFCC41DDC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066-4D04-9896-B7AF62A811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ETS!$S$19:$S$21</c:f>
                <c:numCache>
                  <c:formatCode>General</c:formatCode>
                  <c:ptCount val="3"/>
                  <c:pt idx="0">
                    <c:v>878.03867001100787</c:v>
                  </c:pt>
                  <c:pt idx="1">
                    <c:v>543.17274500681924</c:v>
                  </c:pt>
                  <c:pt idx="2">
                    <c:v>561.1432711023981</c:v>
                  </c:pt>
                </c:numCache>
              </c:numRef>
            </c:plus>
            <c:minus>
              <c:numRef>
                <c:f>ETS!$S$19:$S$21</c:f>
                <c:numCache>
                  <c:formatCode>General</c:formatCode>
                  <c:ptCount val="3"/>
                  <c:pt idx="0">
                    <c:v>878.03867001100787</c:v>
                  </c:pt>
                  <c:pt idx="1">
                    <c:v>543.17274500681924</c:v>
                  </c:pt>
                  <c:pt idx="2">
                    <c:v>561.1432711023981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ETS!$Q$19:$Q$21</c:f>
              <c:strCache>
                <c:ptCount val="3"/>
                <c:pt idx="0">
                  <c:v>CTRL</c:v>
                </c:pt>
                <c:pt idx="1">
                  <c:v>medium polluted</c:v>
                </c:pt>
                <c:pt idx="2">
                  <c:v>highly polluted</c:v>
                </c:pt>
              </c:strCache>
            </c:strRef>
          </c:cat>
          <c:val>
            <c:numRef>
              <c:f>ETS!$R$19:$R$21</c:f>
              <c:numCache>
                <c:formatCode>0.00</c:formatCode>
                <c:ptCount val="3"/>
                <c:pt idx="0">
                  <c:v>2409.0042403027969</c:v>
                </c:pt>
                <c:pt idx="1">
                  <c:v>4582.1558667008157</c:v>
                </c:pt>
                <c:pt idx="2">
                  <c:v>3633.0369593410655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ETS!$AB$30:$AB$32</c15:f>
                <c15:dlblRangeCache>
                  <c:ptCount val="3"/>
                </c15:dlblRangeCache>
              </c15:datalabelsRange>
            </c:ext>
            <c:ext xmlns:c16="http://schemas.microsoft.com/office/drawing/2014/chart" uri="{C3380CC4-5D6E-409C-BE32-E72D297353CC}">
              <c16:uniqueId val="{00000000-4403-41AB-845F-F5172A7F4C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638170744"/>
        <c:axId val="638167792"/>
      </c:barChart>
      <c:catAx>
        <c:axId val="6381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638167792"/>
        <c:crosses val="autoZero"/>
        <c:auto val="1"/>
        <c:lblAlgn val="ctr"/>
        <c:lblOffset val="100"/>
        <c:noMultiLvlLbl val="0"/>
      </c:catAx>
      <c:valAx>
        <c:axId val="63816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nmol/min/g FW</a:t>
                </a:r>
              </a:p>
            </c:rich>
          </c:tx>
          <c:layout>
            <c:manualLayout>
              <c:xMode val="edge"/>
              <c:yMode val="edge"/>
              <c:x val="4.4808821279527735E-4"/>
              <c:y val="0.31180461191828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ptos Display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6381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ptos Display" panose="020B00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r>
              <a:rPr lang="it-IT"/>
              <a:t>LPO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ptos Display" panose="020B0004020202020204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0.14980272108843537"/>
          <c:y val="0.16089129483814524"/>
          <c:w val="0.81964172335600904"/>
          <c:h val="0.7235298191892679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CCFF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DFB-4301-B49E-845B4596B111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FB-4301-B49E-845B4596B111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FB-4301-B49E-845B4596B111}"/>
              </c:ext>
            </c:extLst>
          </c:dPt>
          <c:dLbls>
            <c:dLbl>
              <c:idx val="0"/>
              <c:layout>
                <c:manualLayout>
                  <c:x val="0"/>
                  <c:y val="-0.18055555555555561"/>
                </c:manualLayout>
              </c:layout>
              <c:tx>
                <c:rich>
                  <a:bodyPr/>
                  <a:lstStyle/>
                  <a:p>
                    <a:fld id="{ED06F0AA-6774-4FF8-A61D-31273B19E77D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DFB-4301-B49E-845B4596B111}"/>
                </c:ext>
              </c:extLst>
            </c:dLbl>
            <c:dLbl>
              <c:idx val="1"/>
              <c:layout>
                <c:manualLayout>
                  <c:x val="0"/>
                  <c:y val="-2.7777777777777776E-2"/>
                </c:manualLayout>
              </c:layout>
              <c:tx>
                <c:rich>
                  <a:bodyPr/>
                  <a:lstStyle/>
                  <a:p>
                    <a:fld id="{58876884-D70D-4E11-BC67-ED37B3EBC101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DFB-4301-B49E-845B4596B11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8AD378-6AEA-4D18-83BA-FA441A9013B6}" type="CELLRANGE">
                      <a:rPr lang="it-IT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DFB-4301-B49E-845B4596B1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'[2]grafici (2)'!$C$58:$C$60</c:f>
                <c:numCache>
                  <c:formatCode>General</c:formatCode>
                  <c:ptCount val="3"/>
                  <c:pt idx="0">
                    <c:v>1.1843759846999944</c:v>
                  </c:pt>
                  <c:pt idx="1">
                    <c:v>0.2339513012459046</c:v>
                  </c:pt>
                  <c:pt idx="2">
                    <c:v>8.1699057616076293E-2</c:v>
                  </c:pt>
                </c:numCache>
              </c:numRef>
            </c:plus>
            <c:minus>
              <c:numRef>
                <c:f>'[2]grafici (2)'!$C$58:$C$60</c:f>
                <c:numCache>
                  <c:formatCode>General</c:formatCode>
                  <c:ptCount val="3"/>
                  <c:pt idx="0">
                    <c:v>1.1843759846999944</c:v>
                  </c:pt>
                  <c:pt idx="1">
                    <c:v>0.2339513012459046</c:v>
                  </c:pt>
                  <c:pt idx="2">
                    <c:v>8.1699057616076293E-2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'[2]grafici (2)'!$A$58:$A$60</c:f>
              <c:strCache>
                <c:ptCount val="3"/>
                <c:pt idx="0">
                  <c:v>CTRL</c:v>
                </c:pt>
                <c:pt idx="1">
                  <c:v>medium polluted</c:v>
                </c:pt>
                <c:pt idx="2">
                  <c:v>highly polluted</c:v>
                </c:pt>
              </c:strCache>
            </c:strRef>
          </c:cat>
          <c:val>
            <c:numRef>
              <c:f>'[2]grafici (2)'!$B$58:$B$60</c:f>
              <c:numCache>
                <c:formatCode>General</c:formatCode>
                <c:ptCount val="3"/>
                <c:pt idx="0">
                  <c:v>3.0241934600074201</c:v>
                </c:pt>
                <c:pt idx="1">
                  <c:v>0.92893205265299617</c:v>
                </c:pt>
                <c:pt idx="2">
                  <c:v>0.6081003457110109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'[2]grafici (2)'!$D$58:$D$60</c15:f>
                <c15:dlblRangeCache>
                  <c:ptCount val="3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8DFB-4301-B49E-845B4596B11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650388799"/>
        <c:axId val="1650406559"/>
      </c:barChart>
      <c:catAx>
        <c:axId val="165038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it-IT"/>
          </a:p>
        </c:txPr>
        <c:crossAx val="1650406559"/>
        <c:crosses val="autoZero"/>
        <c:auto val="1"/>
        <c:lblAlgn val="ctr"/>
        <c:lblOffset val="100"/>
        <c:noMultiLvlLbl val="0"/>
      </c:catAx>
      <c:valAx>
        <c:axId val="1650406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+mn-cs"/>
                  </a:defRPr>
                </a:pPr>
                <a:r>
                  <a:rPr lang="it-IT" sz="1000" b="0" i="0" u="none" strike="noStrike" kern="1200" baseline="0">
                    <a:solidFill>
                      <a:sysClr val="windowText" lastClr="000000"/>
                    </a:solidFill>
                  </a:rPr>
                  <a:t>MDA (nmol)/mg prot </a:t>
                </a:r>
              </a:p>
            </c:rich>
          </c:tx>
          <c:layout>
            <c:manualLayout>
              <c:xMode val="edge"/>
              <c:yMode val="edge"/>
              <c:x val="5.5555555555555558E-3"/>
              <c:y val="0.280515091863517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ptos Display" panose="020B0004020202020204" pitchFamily="34" charset="0"/>
                  <a:ea typeface="+mn-ea"/>
                  <a:cs typeface="+mn-cs"/>
                </a:defRPr>
              </a:pPr>
              <a:endParaRPr lang="it-IT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+mn-cs"/>
              </a:defRPr>
            </a:pPr>
            <a:endParaRPr lang="it-IT"/>
          </a:p>
        </c:txPr>
        <c:crossAx val="165038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ptos Display" panose="020B00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Medium polluted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ETS!$B$5:$B$13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ETS!$J$5:$J$13</c:f>
              <c:numCache>
                <c:formatCode>0.000</c:formatCode>
                <c:ptCount val="9"/>
                <c:pt idx="0">
                  <c:v>5171.0350323002922</c:v>
                </c:pt>
                <c:pt idx="1">
                  <c:v>5367.6541734255361</c:v>
                </c:pt>
                <c:pt idx="2">
                  <c:v>4214.9178974928127</c:v>
                </c:pt>
                <c:pt idx="3">
                  <c:v>4031.9018754090907</c:v>
                </c:pt>
                <c:pt idx="4">
                  <c:v>4431.6286746919359</c:v>
                </c:pt>
                <c:pt idx="5">
                  <c:v>5103.4463132132378</c:v>
                </c:pt>
                <c:pt idx="6">
                  <c:v>4052.3065539713707</c:v>
                </c:pt>
                <c:pt idx="8">
                  <c:v>4284.3564131022504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5-4333-BAB2-FCAB16E5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5689183"/>
        <c:axId val="1085692063"/>
      </c:barChart>
      <c:catAx>
        <c:axId val="108568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692063"/>
        <c:crosses val="autoZero"/>
        <c:auto val="1"/>
        <c:lblAlgn val="ctr"/>
        <c:lblOffset val="100"/>
        <c:noMultiLvlLbl val="0"/>
      </c:catAx>
      <c:valAx>
        <c:axId val="1085692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68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CTRL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66CCFF"/>
            </a:solidFill>
            <a:ln>
              <a:noFill/>
            </a:ln>
            <a:effectLst/>
          </c:spPr>
          <c:invertIfNegative val="0"/>
          <c:cat>
            <c:numRef>
              <c:f>ETS!$B$23:$B$27</c:f>
              <c:numCache>
                <c:formatCode>General</c:formatCode>
                <c:ptCount val="5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</c:numCache>
            </c:numRef>
          </c:cat>
          <c:val>
            <c:numRef>
              <c:f>ETS!$J$23:$J$27</c:f>
              <c:numCache>
                <c:formatCode>0.000</c:formatCode>
                <c:ptCount val="5"/>
                <c:pt idx="0">
                  <c:v>1093.0020774637865</c:v>
                </c:pt>
                <c:pt idx="1">
                  <c:v>3215.8001081419502</c:v>
                </c:pt>
                <c:pt idx="2">
                  <c:v>1950.6531204644405</c:v>
                </c:pt>
                <c:pt idx="3">
                  <c:v>2999.6869575115957</c:v>
                </c:pt>
                <c:pt idx="4">
                  <c:v>2785.8789379322116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6-483A-8708-F648EB958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5673823"/>
        <c:axId val="1085690623"/>
      </c:barChart>
      <c:catAx>
        <c:axId val="1085673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690623"/>
        <c:crosses val="autoZero"/>
        <c:auto val="1"/>
        <c:lblAlgn val="ctr"/>
        <c:lblOffset val="100"/>
        <c:noMultiLvlLbl val="0"/>
      </c:catAx>
      <c:valAx>
        <c:axId val="1085690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6738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Highly polluted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ETS!$B$14:$B$22</c:f>
              <c:numCache>
                <c:formatCode>General</c:formatCode>
                <c:ptCount val="9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</c:numCache>
            </c:numRef>
          </c:cat>
          <c:val>
            <c:numRef>
              <c:f>ETS!$J$14:$J$22</c:f>
              <c:numCache>
                <c:formatCode>0.000</c:formatCode>
                <c:ptCount val="9"/>
                <c:pt idx="1">
                  <c:v>3055.8069381598789</c:v>
                </c:pt>
                <c:pt idx="2">
                  <c:v>4258.4308033808584</c:v>
                </c:pt>
                <c:pt idx="3">
                  <c:v>3430.8033808588743</c:v>
                </c:pt>
                <c:pt idx="4">
                  <c:v>4311.847235265659</c:v>
                </c:pt>
                <c:pt idx="6">
                  <c:v>3963.9716554255951</c:v>
                </c:pt>
                <c:pt idx="7">
                  <c:v>2898.8588178377295</c:v>
                </c:pt>
                <c:pt idx="8">
                  <c:v>3511.5398844588626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3-4C71-AD99-3B938C47F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85693503"/>
        <c:axId val="1085697823"/>
      </c:barChart>
      <c:catAx>
        <c:axId val="10856935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697823"/>
        <c:crosses val="autoZero"/>
        <c:auto val="1"/>
        <c:lblAlgn val="ctr"/>
        <c:lblOffset val="100"/>
        <c:noMultiLvlLbl val="0"/>
      </c:catAx>
      <c:valAx>
        <c:axId val="1085697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85693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GLY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ptos Display" panose="020B00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77507926578994"/>
          <c:y val="0.14160000000000003"/>
          <c:w val="0.82850410641708028"/>
          <c:h val="0.744917205969754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6CCFF"/>
            </a:solidFill>
            <a:ln>
              <a:solidFill>
                <a:srgbClr val="00206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66CCFF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5E-4E95-85EB-AD5367CE7AC7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D08-432E-9E9B-B55892F7F916}"/>
              </c:ext>
            </c:extLst>
          </c:dPt>
          <c:dPt>
            <c:idx val="2"/>
            <c:invertIfNegative val="0"/>
            <c:bubble3D val="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BC-413A-AEB7-46D975F23EB2}"/>
              </c:ext>
            </c:extLst>
          </c:dPt>
          <c:dLbls>
            <c:dLbl>
              <c:idx val="0"/>
              <c:layout>
                <c:manualLayout>
                  <c:x val="-3.2997540200378348E-17"/>
                  <c:y val="-3.2564102564102554E-2"/>
                </c:manualLayout>
              </c:layout>
              <c:tx>
                <c:rich>
                  <a:bodyPr/>
                  <a:lstStyle/>
                  <a:p>
                    <a:fld id="{6CA4F293-CA55-4137-84D5-8DC501A67783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05E-4E95-85EB-AD5367CE7AC7}"/>
                </c:ext>
              </c:extLst>
            </c:dLbl>
            <c:dLbl>
              <c:idx val="1"/>
              <c:layout>
                <c:manualLayout>
                  <c:x val="-6.5995080400756696E-17"/>
                  <c:y val="-8.1410256410256412E-2"/>
                </c:manualLayout>
              </c:layout>
              <c:tx>
                <c:rich>
                  <a:bodyPr/>
                  <a:lstStyle/>
                  <a:p>
                    <a:fld id="{6E1CDFF8-E707-4D1C-BF8A-40241EF68D32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D08-432E-9E9B-B55892F7F916}"/>
                </c:ext>
              </c:extLst>
            </c:dLbl>
            <c:dLbl>
              <c:idx val="2"/>
              <c:layout>
                <c:manualLayout>
                  <c:x val="0"/>
                  <c:y val="-0.1194017094017094"/>
                </c:manualLayout>
              </c:layout>
              <c:tx>
                <c:rich>
                  <a:bodyPr/>
                  <a:lstStyle/>
                  <a:p>
                    <a:fld id="{A66E2760-ACD1-4327-B2D7-3BD24919CB58}" type="CELLRANGE">
                      <a:rPr lang="en-US"/>
                      <a:pPr/>
                      <a:t>[INTERVALLOCELLE]</a:t>
                    </a:fld>
                    <a:endParaRPr lang="it-IT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EBC-413A-AEB7-46D975F23E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errBars>
            <c:errBarType val="plus"/>
            <c:errValType val="cust"/>
            <c:noEndCap val="0"/>
            <c:plus>
              <c:numRef>
                <c:f>GLY!$L$16:$L$18</c:f>
                <c:numCache>
                  <c:formatCode>General</c:formatCode>
                  <c:ptCount val="3"/>
                  <c:pt idx="0">
                    <c:v>2.8101280180526462</c:v>
                  </c:pt>
                  <c:pt idx="1">
                    <c:v>6.3520697305278517</c:v>
                  </c:pt>
                  <c:pt idx="2">
                    <c:v>8.7420139787039766</c:v>
                  </c:pt>
                </c:numCache>
              </c:numRef>
            </c:plus>
            <c:minus>
              <c:numRef>
                <c:f>GLY!$L$16:$L$18</c:f>
                <c:numCache>
                  <c:formatCode>General</c:formatCode>
                  <c:ptCount val="3"/>
                  <c:pt idx="0">
                    <c:v>2.8101280180526462</c:v>
                  </c:pt>
                  <c:pt idx="1">
                    <c:v>6.3520697305278517</c:v>
                  </c:pt>
                  <c:pt idx="2">
                    <c:v>8.7420139787039766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GLY!$J$16:$J$18</c:f>
              <c:strCache>
                <c:ptCount val="3"/>
                <c:pt idx="0">
                  <c:v>CTRL</c:v>
                </c:pt>
                <c:pt idx="1">
                  <c:v>medium polluted</c:v>
                </c:pt>
                <c:pt idx="2">
                  <c:v>highly polluted</c:v>
                </c:pt>
              </c:strCache>
            </c:strRef>
          </c:cat>
          <c:val>
            <c:numRef>
              <c:f>GLY!$K$16:$K$18</c:f>
              <c:numCache>
                <c:formatCode>0.00</c:formatCode>
                <c:ptCount val="3"/>
                <c:pt idx="0">
                  <c:v>43.589617708685886</c:v>
                </c:pt>
                <c:pt idx="1">
                  <c:v>27.766469176740806</c:v>
                </c:pt>
                <c:pt idx="2">
                  <c:v>29.466813960180048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GLY!$U$38:$U$40</c15:f>
                <c15:dlblRangeCache>
                  <c:ptCount val="3"/>
                  <c:pt idx="0">
                    <c:v>A</c:v>
                  </c:pt>
                  <c:pt idx="1">
                    <c:v>B</c:v>
                  </c:pt>
                  <c:pt idx="2">
                    <c:v>B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EAAF-49AA-8D88-62603B2CF5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638170744"/>
        <c:axId val="638167792"/>
      </c:barChart>
      <c:catAx>
        <c:axId val="63817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638167792"/>
        <c:crosses val="autoZero"/>
        <c:auto val="1"/>
        <c:lblAlgn val="ctr"/>
        <c:lblOffset val="100"/>
        <c:noMultiLvlLbl val="0"/>
      </c:catAx>
      <c:valAx>
        <c:axId val="63816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ptos Display" panose="020B00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mg GLY/g FW</a:t>
                </a:r>
              </a:p>
            </c:rich>
          </c:tx>
          <c:layout>
            <c:manualLayout>
              <c:xMode val="edge"/>
              <c:yMode val="edge"/>
              <c:x val="1.3321995464852599E-4"/>
              <c:y val="0.366963675213675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ptos Display" panose="020B00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ptos Display" panose="020B00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63817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ptos Display" panose="020B00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Standard's</a:t>
            </a:r>
            <a:r>
              <a:rPr lang="pt-PT" baseline="0"/>
              <a:t> Curve</a:t>
            </a:r>
            <a:endParaRPr lang="pt-P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697462534300579"/>
                  <c:y val="0.4613144717489381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xVal>
            <c:numRef>
              <c:f>GLY!$K$23:$K$30</c:f>
              <c:numCache>
                <c:formatCode>0.00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0.4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</c:numCache>
            </c:numRef>
          </c:xVal>
          <c:yVal>
            <c:numRef>
              <c:f>GLY!$L$23:$L$30</c:f>
              <c:numCache>
                <c:formatCode>0.000</c:formatCode>
                <c:ptCount val="8"/>
                <c:pt idx="0">
                  <c:v>5.0999999999999997E-2</c:v>
                </c:pt>
                <c:pt idx="1">
                  <c:v>7.5999999999999998E-2</c:v>
                </c:pt>
                <c:pt idx="2">
                  <c:v>0.14799999999999999</c:v>
                </c:pt>
                <c:pt idx="3">
                  <c:v>0.372</c:v>
                </c:pt>
                <c:pt idx="4">
                  <c:v>0.58399999999999996</c:v>
                </c:pt>
                <c:pt idx="5">
                  <c:v>0.91500000000000004</c:v>
                </c:pt>
                <c:pt idx="6">
                  <c:v>1.08</c:v>
                </c:pt>
                <c:pt idx="7">
                  <c:v>1.3560000000000001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BD-4127-8B96-A1B6C3203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143168"/>
        <c:axId val="651144480"/>
      </c:scatterChart>
      <c:valAx>
        <c:axId val="651143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51144480"/>
        <c:crosses val="autoZero"/>
        <c:crossBetween val="midCat"/>
      </c:valAx>
      <c:valAx>
        <c:axId val="65114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651143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chart" Target="../charts/chart2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5" Type="http://schemas.openxmlformats.org/officeDocument/2006/relationships/chart" Target="../charts/chart37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481012</xdr:colOff>
      <xdr:row>13</xdr:row>
      <xdr:rowOff>84136</xdr:rowOff>
    </xdr:from>
    <xdr:to>
      <xdr:col>23</xdr:col>
      <xdr:colOff>352425</xdr:colOff>
      <xdr:row>25</xdr:row>
      <xdr:rowOff>131762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F7F9E3CB-6D1C-4F65-A71C-1FBC3CC7D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625474</xdr:colOff>
      <xdr:row>30</xdr:row>
      <xdr:rowOff>114300</xdr:rowOff>
    </xdr:from>
    <xdr:to>
      <xdr:col>20</xdr:col>
      <xdr:colOff>419100</xdr:colOff>
      <xdr:row>48</xdr:row>
      <xdr:rowOff>98424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1CC11151-FD88-4874-BF92-207C986E691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4232</xdr:rowOff>
    </xdr:from>
    <xdr:to>
      <xdr:col>9</xdr:col>
      <xdr:colOff>787400</xdr:colOff>
      <xdr:row>48</xdr:row>
      <xdr:rowOff>114299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DE592F2E-FF54-2282-815C-0A34EB14D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342900</xdr:colOff>
      <xdr:row>44</xdr:row>
      <xdr:rowOff>19050</xdr:rowOff>
    </xdr:from>
    <xdr:to>
      <xdr:col>7</xdr:col>
      <xdr:colOff>693420</xdr:colOff>
      <xdr:row>58</xdr:row>
      <xdr:rowOff>95250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2330077-715D-4DCD-B7F7-07D2D5E905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342900</xdr:colOff>
      <xdr:row>44</xdr:row>
      <xdr:rowOff>19050</xdr:rowOff>
    </xdr:from>
    <xdr:to>
      <xdr:col>17</xdr:col>
      <xdr:colOff>0</xdr:colOff>
      <xdr:row>58</xdr:row>
      <xdr:rowOff>95250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FE4BF40-F32D-4E16-BD70-9E9E06C6F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468085</xdr:colOff>
      <xdr:row>88</xdr:row>
      <xdr:rowOff>123007</xdr:rowOff>
    </xdr:from>
    <xdr:to>
      <xdr:col>8</xdr:col>
      <xdr:colOff>1578428</xdr:colOff>
      <xdr:row>106</xdr:row>
      <xdr:rowOff>65313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EE5586C-30A0-41D2-929E-582BB9826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972760</xdr:colOff>
      <xdr:row>24</xdr:row>
      <xdr:rowOff>118230</xdr:rowOff>
    </xdr:from>
    <xdr:to>
      <xdr:col>19</xdr:col>
      <xdr:colOff>242027</xdr:colOff>
      <xdr:row>37</xdr:row>
      <xdr:rowOff>28296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8D2116-EF69-41C7-8992-56CB9779A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6048</xdr:colOff>
      <xdr:row>27</xdr:row>
      <xdr:rowOff>114904</xdr:rowOff>
    </xdr:from>
    <xdr:to>
      <xdr:col>11</xdr:col>
      <xdr:colOff>71362</xdr:colOff>
      <xdr:row>42</xdr:row>
      <xdr:rowOff>60475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2ECCFFE-3EF1-492C-8544-86201ADAF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93133</xdr:colOff>
      <xdr:row>27</xdr:row>
      <xdr:rowOff>136678</xdr:rowOff>
    </xdr:from>
    <xdr:to>
      <xdr:col>6</xdr:col>
      <xdr:colOff>968829</xdr:colOff>
      <xdr:row>42</xdr:row>
      <xdr:rowOff>82249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C6B3351-F1E5-4F1C-9546-8BB833F1C5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189895</xdr:colOff>
      <xdr:row>27</xdr:row>
      <xdr:rowOff>110067</xdr:rowOff>
    </xdr:from>
    <xdr:to>
      <xdr:col>16</xdr:col>
      <xdr:colOff>396723</xdr:colOff>
      <xdr:row>42</xdr:row>
      <xdr:rowOff>72572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5F7FFFA-2427-4F72-89FE-8D66165CCE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195943</xdr:colOff>
      <xdr:row>31</xdr:row>
      <xdr:rowOff>76200</xdr:rowOff>
    </xdr:from>
    <xdr:to>
      <xdr:col>17</xdr:col>
      <xdr:colOff>466195</xdr:colOff>
      <xdr:row>46</xdr:row>
      <xdr:rowOff>43543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CCE47B8-0F0D-4E94-ABE8-057A5A5F2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318759</xdr:colOff>
      <xdr:row>12</xdr:row>
      <xdr:rowOff>75765</xdr:rowOff>
    </xdr:from>
    <xdr:to>
      <xdr:col>18</xdr:col>
      <xdr:colOff>315687</xdr:colOff>
      <xdr:row>26</xdr:row>
      <xdr:rowOff>178272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58371FA5-A9AD-4A8B-852F-041B94B705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30</xdr:row>
      <xdr:rowOff>184810</xdr:rowOff>
    </xdr:from>
    <xdr:to>
      <xdr:col>4</xdr:col>
      <xdr:colOff>65314</xdr:colOff>
      <xdr:row>42</xdr:row>
      <xdr:rowOff>106012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7646CE8-B220-4E55-AF3A-2C5D4804A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391886</xdr:colOff>
      <xdr:row>31</xdr:row>
      <xdr:rowOff>72487</xdr:rowOff>
    </xdr:from>
    <xdr:to>
      <xdr:col>7</xdr:col>
      <xdr:colOff>805543</xdr:colOff>
      <xdr:row>42</xdr:row>
      <xdr:rowOff>103632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574F822-B893-42E9-A5DC-E5D92F95A0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31</xdr:row>
      <xdr:rowOff>46509</xdr:rowOff>
    </xdr:from>
    <xdr:to>
      <xdr:col>10</xdr:col>
      <xdr:colOff>903514</xdr:colOff>
      <xdr:row>42</xdr:row>
      <xdr:rowOff>119742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F1D9227-A0B5-40AC-A683-E4A32518F2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1511299</xdr:colOff>
      <xdr:row>20</xdr:row>
      <xdr:rowOff>20298</xdr:rowOff>
    </xdr:from>
    <xdr:to>
      <xdr:col>15</xdr:col>
      <xdr:colOff>1235328</xdr:colOff>
      <xdr:row>35</xdr:row>
      <xdr:rowOff>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6E0081A-1833-B494-B7E1-F999A68E6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26</xdr:row>
      <xdr:rowOff>150813</xdr:rowOff>
    </xdr:from>
    <xdr:to>
      <xdr:col>5</xdr:col>
      <xdr:colOff>76201</xdr:colOff>
      <xdr:row>42</xdr:row>
      <xdr:rowOff>1588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C419D5EF-42C3-FF23-6635-6AF5039DD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193675</xdr:colOff>
      <xdr:row>26</xdr:row>
      <xdr:rowOff>115888</xdr:rowOff>
    </xdr:from>
    <xdr:to>
      <xdr:col>9</xdr:col>
      <xdr:colOff>0</xdr:colOff>
      <xdr:row>41</xdr:row>
      <xdr:rowOff>144463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B4D1EC1-D39B-CD2E-0E3E-4E7054F92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26</xdr:row>
      <xdr:rowOff>80963</xdr:rowOff>
    </xdr:from>
    <xdr:to>
      <xdr:col>10</xdr:col>
      <xdr:colOff>2171700</xdr:colOff>
      <xdr:row>41</xdr:row>
      <xdr:rowOff>109538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BAC29DE-7588-3FBF-EF73-0C9FB5308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779417</xdr:colOff>
      <xdr:row>21</xdr:row>
      <xdr:rowOff>63137</xdr:rowOff>
    </xdr:from>
    <xdr:to>
      <xdr:col>17</xdr:col>
      <xdr:colOff>317448</xdr:colOff>
      <xdr:row>35</xdr:row>
      <xdr:rowOff>128610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0723470-26E9-3CAE-9406-65E166D03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52250</xdr:rowOff>
    </xdr:from>
    <xdr:to>
      <xdr:col>4</xdr:col>
      <xdr:colOff>195943</xdr:colOff>
      <xdr:row>41</xdr:row>
      <xdr:rowOff>98483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3FC9BB98-E79B-E6BA-4DDF-D8C94F4E2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355576</xdr:colOff>
      <xdr:row>26</xdr:row>
      <xdr:rowOff>63828</xdr:rowOff>
    </xdr:from>
    <xdr:to>
      <xdr:col>8</xdr:col>
      <xdr:colOff>544285</xdr:colOff>
      <xdr:row>41</xdr:row>
      <xdr:rowOff>110061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CF18898-58A0-C949-242E-4B1807BD2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683252</xdr:colOff>
      <xdr:row>26</xdr:row>
      <xdr:rowOff>59356</xdr:rowOff>
    </xdr:from>
    <xdr:to>
      <xdr:col>10</xdr:col>
      <xdr:colOff>2634343</xdr:colOff>
      <xdr:row>41</xdr:row>
      <xdr:rowOff>105588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EA51175-EF52-5330-2A96-8F023EEBA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533399</xdr:colOff>
      <xdr:row>11</xdr:row>
      <xdr:rowOff>144461</xdr:rowOff>
    </xdr:from>
    <xdr:to>
      <xdr:col>22</xdr:col>
      <xdr:colOff>63500</xdr:colOff>
      <xdr:row>24</xdr:row>
      <xdr:rowOff>15874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6279690-B5A6-4EB3-BDD6-23B5F7F86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323850</xdr:colOff>
      <xdr:row>35</xdr:row>
      <xdr:rowOff>100013</xdr:rowOff>
    </xdr:from>
    <xdr:to>
      <xdr:col>21</xdr:col>
      <xdr:colOff>337125</xdr:colOff>
      <xdr:row>48</xdr:row>
      <xdr:rowOff>87338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DA80A6D-99D3-2E9E-D60D-706127EC2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25401</xdr:colOff>
      <xdr:row>36</xdr:row>
      <xdr:rowOff>157163</xdr:rowOff>
    </xdr:from>
    <xdr:to>
      <xdr:col>5</xdr:col>
      <xdr:colOff>444501</xdr:colOff>
      <xdr:row>52</xdr:row>
      <xdr:rowOff>11113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C6C99CF-A96D-B219-EEC4-34C0DA7FF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117474</xdr:colOff>
      <xdr:row>36</xdr:row>
      <xdr:rowOff>144463</xdr:rowOff>
    </xdr:from>
    <xdr:to>
      <xdr:col>9</xdr:col>
      <xdr:colOff>673100</xdr:colOff>
      <xdr:row>51</xdr:row>
      <xdr:rowOff>176213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8DF8B90-4488-E80C-D2DC-F29707267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758825</xdr:colOff>
      <xdr:row>36</xdr:row>
      <xdr:rowOff>144463</xdr:rowOff>
    </xdr:from>
    <xdr:to>
      <xdr:col>12</xdr:col>
      <xdr:colOff>685800</xdr:colOff>
      <xdr:row>51</xdr:row>
      <xdr:rowOff>176213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FF96239-01E7-25A9-B974-BBDF1CF81D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409574</xdr:colOff>
      <xdr:row>20</xdr:row>
      <xdr:rowOff>114300</xdr:rowOff>
    </xdr:from>
    <xdr:to>
      <xdr:col>16</xdr:col>
      <xdr:colOff>133350</xdr:colOff>
      <xdr:row>34</xdr:row>
      <xdr:rowOff>47625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2C291C7-6ECD-A261-B2B2-E3EA666F4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28576</xdr:colOff>
      <xdr:row>25</xdr:row>
      <xdr:rowOff>147638</xdr:rowOff>
    </xdr:from>
    <xdr:to>
      <xdr:col>4</xdr:col>
      <xdr:colOff>133351</xdr:colOff>
      <xdr:row>38</xdr:row>
      <xdr:rowOff>38100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971E7F6-C9E1-3EE9-5E7D-608FB71DE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190500</xdr:colOff>
      <xdr:row>25</xdr:row>
      <xdr:rowOff>176213</xdr:rowOff>
    </xdr:from>
    <xdr:to>
      <xdr:col>7</xdr:col>
      <xdr:colOff>600075</xdr:colOff>
      <xdr:row>38</xdr:row>
      <xdr:rowOff>38100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D7E480-D38F-F791-C365-A830D9E66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695325</xdr:colOff>
      <xdr:row>25</xdr:row>
      <xdr:rowOff>176213</xdr:rowOff>
    </xdr:from>
    <xdr:to>
      <xdr:col>10</xdr:col>
      <xdr:colOff>800100</xdr:colOff>
      <xdr:row>38</xdr:row>
      <xdr:rowOff>47625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7A387FD-77D7-8480-83DD-14B3E8AC4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23</xdr:row>
      <xdr:rowOff>152400</xdr:rowOff>
    </xdr:from>
    <xdr:to>
      <xdr:col>15</xdr:col>
      <xdr:colOff>480060</xdr:colOff>
      <xdr:row>36</xdr:row>
      <xdr:rowOff>106680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0031226-23D0-4852-A78F-F9E38643D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365760</xdr:colOff>
      <xdr:row>57</xdr:row>
      <xdr:rowOff>22860</xdr:rowOff>
    </xdr:from>
    <xdr:to>
      <xdr:col>29</xdr:col>
      <xdr:colOff>144780</xdr:colOff>
      <xdr:row>68</xdr:row>
      <xdr:rowOff>129540</xdr:rowOff>
    </xdr:to>
    <xdr:graphicFrame macro="">
      <xdr:nvGraphicFramePr>
        <xdr:cNvPr id="3" name="Grafico 1">
          <a:extLst>
            <a:ext uri="{FF2B5EF4-FFF2-40B4-BE49-F238E27FC236}">
              <a16:creationId xmlns:a16="http://schemas.microsoft.com/office/drawing/2014/main" id="{CE5F7482-D461-426C-99BB-EBE6EECE1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246380</xdr:colOff>
      <xdr:row>11</xdr:row>
      <xdr:rowOff>152400</xdr:rowOff>
    </xdr:from>
    <xdr:to>
      <xdr:col>39</xdr:col>
      <xdr:colOff>266700</xdr:colOff>
      <xdr:row>28</xdr:row>
      <xdr:rowOff>96520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3376FA3-C4FC-481A-A513-31996B3E0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293255</xdr:colOff>
      <xdr:row>32</xdr:row>
      <xdr:rowOff>18513</xdr:rowOff>
    </xdr:from>
    <xdr:to>
      <xdr:col>22</xdr:col>
      <xdr:colOff>1246910</xdr:colOff>
      <xdr:row>46</xdr:row>
      <xdr:rowOff>98177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09AF332-C883-4681-9A25-F9B0025D89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1615441</xdr:colOff>
      <xdr:row>57</xdr:row>
      <xdr:rowOff>42757</xdr:rowOff>
    </xdr:from>
    <xdr:to>
      <xdr:col>20</xdr:col>
      <xdr:colOff>618067</xdr:colOff>
      <xdr:row>72</xdr:row>
      <xdr:rowOff>186266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8400EEA-15EF-4CBD-B0B2-5EA6207F2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153554</xdr:colOff>
      <xdr:row>74</xdr:row>
      <xdr:rowOff>99291</xdr:rowOff>
    </xdr:from>
    <xdr:to>
      <xdr:col>6</xdr:col>
      <xdr:colOff>473748</xdr:colOff>
      <xdr:row>88</xdr:row>
      <xdr:rowOff>116224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52F3798-E827-41DB-9A69-C5218D8E9B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73121</xdr:colOff>
      <xdr:row>74</xdr:row>
      <xdr:rowOff>107757</xdr:rowOff>
    </xdr:from>
    <xdr:to>
      <xdr:col>14</xdr:col>
      <xdr:colOff>911321</xdr:colOff>
      <xdr:row>88</xdr:row>
      <xdr:rowOff>124690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13A0BC8-4D9D-4C94-AC04-84CDB2A3C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979054</xdr:colOff>
      <xdr:row>74</xdr:row>
      <xdr:rowOff>124691</xdr:rowOff>
    </xdr:from>
    <xdr:to>
      <xdr:col>18</xdr:col>
      <xdr:colOff>13854</xdr:colOff>
      <xdr:row>88</xdr:row>
      <xdr:rowOff>141624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F41DD36-D190-46DE-8530-1737F5CC9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QUAPROGRAM%20campionamento/OK%20AOPP%20results%20cavedano%20liver.xlsx" TargetMode="External"/><Relationship Id="rId2" Type="http://schemas.openxmlformats.org/officeDocument/2006/relationships/externalLinkPath" Target="file:///C:\Users\Utente\Documents\DOTTORATO\AQUAPROGRAM%20campionamento\OK%20AOPP%20results%20cavedano%20liver.xlsx" TargetMode="External"/><Relationship Id="rId1" Type="http://schemas.openxmlformats.org/officeDocument/2006/relationships/externalLinkPath" Target="/Users/Utente/Documents/DOTTORATO/AQUAPROGRAM%20campionamento/OK%20AOPP%20results%20cavedano%20liver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QUAPROGRAM%20campionamento/OK%20LPO%20+%20proteine%20LPO.xlsx" TargetMode="External"/><Relationship Id="rId2" Type="http://schemas.openxmlformats.org/officeDocument/2006/relationships/externalLinkPath" Target="file:///C:\Users\Utente\Documents\DOTTORATO\AQUAPROGRAM%20campionamento\OK%20LPO%20+%20proteine%20LPO.xlsx" TargetMode="External"/><Relationship Id="rId1" Type="http://schemas.openxmlformats.org/officeDocument/2006/relationships/externalLinkPath" Target="/Users/Utente/Documents/DOTTORATO/AQUAPROGRAM%20campionamento/OK%20LPO%20+%20proteine%20LPO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QUAPROGRAM%20campionamento/OK%20giusto!%20SOD_liver%20MARTINA.xls" TargetMode="External"/><Relationship Id="rId2" Type="http://schemas.openxmlformats.org/officeDocument/2006/relationships/externalLinkPath" Target="file:///C:\Users\Utente\Documents\DOTTORATO\AQUAPROGRAM%20campionamento\OK%20giusto!%20SOD_liver%20MARTINA.xls" TargetMode="External"/><Relationship Id="rId1" Type="http://schemas.openxmlformats.org/officeDocument/2006/relationships/externalLinkPath" Target="/Users/Utente/Documents/DOTTORATO/AQUAPROGRAM%20campionamento/OK%20giusto!%20SOD_liver%20MARTINA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QUAPROGRAM%20campionamento/SOD_kidney.xls" TargetMode="External"/><Relationship Id="rId1" Type="http://schemas.openxmlformats.org/officeDocument/2006/relationships/externalLinkPath" Target="/Users/Utente/Documents/DOTTORATO/AQUAPROGRAM%20campionamento/SOD_kidne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ver weight AOPP"/>
      <sheetName val="Retta di taratura"/>
      <sheetName val="proteins Lowry"/>
      <sheetName val="Results, calculations AOPP"/>
      <sheetName val="Statistic"/>
    </sheetNames>
    <sheetDataSet>
      <sheetData sheetId="0" refreshError="1"/>
      <sheetData sheetId="1" refreshError="1"/>
      <sheetData sheetId="2"/>
      <sheetData sheetId="3">
        <row r="20">
          <cell r="Q20" t="str">
            <v>Abs</v>
          </cell>
        </row>
        <row r="21">
          <cell r="P21">
            <v>3.125</v>
          </cell>
          <cell r="Q21">
            <v>3.6900006234645844E-2</v>
          </cell>
        </row>
        <row r="22">
          <cell r="P22">
            <v>6.25</v>
          </cell>
          <cell r="Q22">
            <v>7.5199998915195465E-2</v>
          </cell>
        </row>
        <row r="23">
          <cell r="P23">
            <v>12.5</v>
          </cell>
          <cell r="Q23">
            <v>0.14405000954866409</v>
          </cell>
        </row>
        <row r="24">
          <cell r="P24">
            <v>25</v>
          </cell>
          <cell r="Q24">
            <v>0.29540000110864639</v>
          </cell>
        </row>
        <row r="25">
          <cell r="P25">
            <v>50</v>
          </cell>
          <cell r="Q25">
            <v>0.58980002254247665</v>
          </cell>
        </row>
        <row r="26">
          <cell r="P26">
            <v>100</v>
          </cell>
          <cell r="Q26">
            <v>1.1051499769091606</v>
          </cell>
        </row>
        <row r="27">
          <cell r="P27">
            <v>200</v>
          </cell>
          <cell r="Q27">
            <v>2.2528499290347099</v>
          </cell>
        </row>
        <row r="49">
          <cell r="P49" t="str">
            <v>CTRL</v>
          </cell>
          <cell r="Q49">
            <v>94.341676105748505</v>
          </cell>
          <cell r="R49">
            <v>16.796915131741095</v>
          </cell>
          <cell r="U49" t="str">
            <v>A</v>
          </cell>
          <cell r="W49" t="str">
            <v>CTRL</v>
          </cell>
          <cell r="X49">
            <v>94.341676105748505</v>
          </cell>
          <cell r="Y49">
            <v>16.796915131741095</v>
          </cell>
        </row>
        <row r="50">
          <cell r="P50" t="str">
            <v>low polluted</v>
          </cell>
          <cell r="Q50">
            <v>129.06442308320985</v>
          </cell>
          <cell r="R50">
            <v>25.079982859198658</v>
          </cell>
          <cell r="U50" t="str">
            <v>A</v>
          </cell>
          <cell r="W50" t="str">
            <v>medium polluted</v>
          </cell>
          <cell r="X50">
            <v>108.4948501781742</v>
          </cell>
          <cell r="Y50">
            <v>12.099841541838282</v>
          </cell>
        </row>
        <row r="51">
          <cell r="P51" t="str">
            <v>medium polluted</v>
          </cell>
          <cell r="Q51">
            <v>108.4948501781742</v>
          </cell>
          <cell r="R51">
            <v>12.099841541838282</v>
          </cell>
          <cell r="U51" t="str">
            <v>A</v>
          </cell>
          <cell r="W51" t="str">
            <v>highly polluted</v>
          </cell>
          <cell r="X51">
            <v>210.32480411590004</v>
          </cell>
          <cell r="Y51">
            <v>43.275703798785649</v>
          </cell>
        </row>
        <row r="52">
          <cell r="P52" t="str">
            <v>highly polluted</v>
          </cell>
          <cell r="Q52">
            <v>210.32480411590004</v>
          </cell>
          <cell r="R52">
            <v>43.275703798785649</v>
          </cell>
          <cell r="U52" t="str">
            <v>B</v>
          </cell>
        </row>
        <row r="57">
          <cell r="E57" t="str">
            <v>A1</v>
          </cell>
          <cell r="F57">
            <v>90.818646278654896</v>
          </cell>
          <cell r="G57" t="str">
            <v>A9</v>
          </cell>
          <cell r="H57">
            <v>104.21240129006031</v>
          </cell>
          <cell r="I57" t="str">
            <v>B8</v>
          </cell>
          <cell r="J57">
            <v>211.95695016855569</v>
          </cell>
          <cell r="K57" t="str">
            <v>C6</v>
          </cell>
          <cell r="L57">
            <v>91.529011214368637</v>
          </cell>
        </row>
        <row r="58">
          <cell r="E58" t="str">
            <v>A2</v>
          </cell>
          <cell r="F58">
            <v>128.72846405586904</v>
          </cell>
          <cell r="G58" t="str">
            <v>B1</v>
          </cell>
          <cell r="H58">
            <v>236.93529921811688</v>
          </cell>
          <cell r="I58" t="str">
            <v>B9</v>
          </cell>
          <cell r="J58">
            <v>267.80123920628927</v>
          </cell>
          <cell r="K58" t="str">
            <v>C7</v>
          </cell>
          <cell r="L58">
            <v>103.70254320762017</v>
          </cell>
        </row>
        <row r="59">
          <cell r="E59" t="str">
            <v>A3</v>
          </cell>
          <cell r="F59">
            <v>118.58859128859507</v>
          </cell>
          <cell r="G59" t="str">
            <v>B2</v>
          </cell>
          <cell r="H59">
            <v>190.07554921032224</v>
          </cell>
          <cell r="I59" t="str">
            <v>B10</v>
          </cell>
          <cell r="J59">
            <v>211.17688093855014</v>
          </cell>
          <cell r="K59" t="str">
            <v>C8</v>
          </cell>
          <cell r="L59">
            <v>82.367019566258605</v>
          </cell>
        </row>
        <row r="60">
          <cell r="E60" t="str">
            <v>A4</v>
          </cell>
          <cell r="F60">
            <v>112.3495304698635</v>
          </cell>
          <cell r="G60" t="str">
            <v>B3</v>
          </cell>
          <cell r="H60">
            <v>292.72448177330978</v>
          </cell>
          <cell r="I60" t="str">
            <v>C1</v>
          </cell>
          <cell r="J60">
            <v>118.08869364124909</v>
          </cell>
          <cell r="K60" t="str">
            <v>C9</v>
          </cell>
          <cell r="L60">
            <v>79.566443634949678</v>
          </cell>
        </row>
        <row r="61">
          <cell r="E61" t="str">
            <v>A5</v>
          </cell>
          <cell r="F61">
            <v>96.207196247477668</v>
          </cell>
          <cell r="G61" t="str">
            <v>B4</v>
          </cell>
          <cell r="H61">
            <v>181.3601614798078</v>
          </cell>
          <cell r="I61" t="str">
            <v>C2</v>
          </cell>
          <cell r="J61">
            <v>74.705574253053598</v>
          </cell>
          <cell r="K61" t="str">
            <v>C10</v>
          </cell>
          <cell r="L61">
            <v>72.681769582188153</v>
          </cell>
        </row>
        <row r="62">
          <cell r="E62" t="str">
            <v>A6</v>
          </cell>
          <cell r="F62">
            <v>105.61787952691132</v>
          </cell>
          <cell r="G62" t="str">
            <v>B5</v>
          </cell>
          <cell r="H62">
            <v>170.02781060273023</v>
          </cell>
          <cell r="I62" t="str">
            <v>C3</v>
          </cell>
          <cell r="J62">
            <v>108.53559893150978</v>
          </cell>
        </row>
        <row r="63">
          <cell r="E63" t="str">
            <v>A7</v>
          </cell>
          <cell r="F63">
            <v>111.43609226796168</v>
          </cell>
          <cell r="G63" t="str">
            <v>B6</v>
          </cell>
          <cell r="H63">
            <v>167.38925634080869</v>
          </cell>
          <cell r="I63" t="str">
            <v>C4</v>
          </cell>
          <cell r="J63">
            <v>115.72249405436334</v>
          </cell>
        </row>
        <row r="64">
          <cell r="E64" t="str">
            <v>A8</v>
          </cell>
          <cell r="F64" t="str">
            <v>q=F55/'proteins Lowry'!F22</v>
          </cell>
          <cell r="G64" t="str">
            <v>B7</v>
          </cell>
          <cell r="H64">
            <v>173.80041222050988</v>
          </cell>
          <cell r="I64" t="str">
            <v>C5</v>
          </cell>
          <cell r="J64">
            <v>96.517612971924038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DT proteine"/>
      <sheetName val="LPO Absorbance 1"/>
      <sheetName val="LPO Absorbance 2"/>
      <sheetName val="SITO A"/>
      <sheetName val="SITO B"/>
      <sheetName val="SITO C"/>
      <sheetName val="SITO D"/>
      <sheetName val="grafici"/>
      <sheetName val="grafici (2)"/>
      <sheetName val="stat LPO"/>
    </sheetNames>
    <sheetDataSet>
      <sheetData sheetId="0" refreshError="1"/>
      <sheetData sheetId="1">
        <row r="48">
          <cell r="C48" t="str">
            <v>Abs</v>
          </cell>
        </row>
        <row r="49">
          <cell r="B49">
            <v>125</v>
          </cell>
          <cell r="C49">
            <v>1.8601000000000001</v>
          </cell>
        </row>
        <row r="50">
          <cell r="B50">
            <v>62.5</v>
          </cell>
          <cell r="C50">
            <v>1.0134500000000002</v>
          </cell>
        </row>
        <row r="51">
          <cell r="B51">
            <v>31.25</v>
          </cell>
          <cell r="C51">
            <v>0.46145000000000003</v>
          </cell>
        </row>
        <row r="52">
          <cell r="B52">
            <v>15.63</v>
          </cell>
          <cell r="C52">
            <v>0.2641</v>
          </cell>
        </row>
        <row r="53">
          <cell r="B53">
            <v>7.81</v>
          </cell>
          <cell r="C53">
            <v>0.12545000000000001</v>
          </cell>
        </row>
        <row r="54">
          <cell r="B54">
            <v>3.91</v>
          </cell>
          <cell r="C54">
            <v>6.5099999999999991E-2</v>
          </cell>
        </row>
        <row r="55">
          <cell r="B55">
            <v>1.95</v>
          </cell>
          <cell r="C55">
            <v>4.2049999999999997E-2</v>
          </cell>
        </row>
        <row r="56">
          <cell r="B56">
            <v>0.98</v>
          </cell>
          <cell r="C56">
            <v>2.3799999999999995E-2</v>
          </cell>
        </row>
      </sheetData>
      <sheetData sheetId="2">
        <row r="48">
          <cell r="C48" t="str">
            <v>Abs</v>
          </cell>
        </row>
        <row r="49">
          <cell r="B49">
            <v>125</v>
          </cell>
          <cell r="C49">
            <v>1.8612500000000001</v>
          </cell>
        </row>
        <row r="50">
          <cell r="B50">
            <v>62.5</v>
          </cell>
          <cell r="C50">
            <v>0.9554999999999999</v>
          </cell>
        </row>
        <row r="51">
          <cell r="B51">
            <v>31.25</v>
          </cell>
          <cell r="C51">
            <v>0.46894999999999998</v>
          </cell>
        </row>
        <row r="52">
          <cell r="B52">
            <v>15.63</v>
          </cell>
          <cell r="C52">
            <v>0.25690000000000002</v>
          </cell>
        </row>
        <row r="53">
          <cell r="B53">
            <v>7.81</v>
          </cell>
          <cell r="C53">
            <v>0.12445000000000001</v>
          </cell>
        </row>
        <row r="54">
          <cell r="B54">
            <v>3.91</v>
          </cell>
          <cell r="C54">
            <v>8.0000000000000016E-2</v>
          </cell>
        </row>
        <row r="55">
          <cell r="B55">
            <v>1.95</v>
          </cell>
          <cell r="C55">
            <v>3.6400000000000016E-2</v>
          </cell>
        </row>
        <row r="56">
          <cell r="B56">
            <v>0.98</v>
          </cell>
          <cell r="C56">
            <v>2.495E-2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58">
          <cell r="A58" t="str">
            <v>CTRL</v>
          </cell>
          <cell r="B58">
            <v>3.0241934600074201</v>
          </cell>
          <cell r="C58">
            <v>1.1843759846999944</v>
          </cell>
          <cell r="D58" t="str">
            <v>A</v>
          </cell>
        </row>
        <row r="59">
          <cell r="A59" t="str">
            <v>medium polluted</v>
          </cell>
          <cell r="B59">
            <v>0.92893205265299617</v>
          </cell>
          <cell r="C59">
            <v>0.2339513012459046</v>
          </cell>
          <cell r="D59" t="str">
            <v>B</v>
          </cell>
        </row>
        <row r="60">
          <cell r="A60" t="str">
            <v>highly polluted</v>
          </cell>
          <cell r="B60">
            <v>0.6081003457110109</v>
          </cell>
          <cell r="C60">
            <v>8.1699057616076293E-2</v>
          </cell>
          <cell r="D60" t="str">
            <v>B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OTEINE"/>
      <sheetName val="SOD results CORRETTI"/>
      <sheetName val="Final results CORRETTI"/>
      <sheetName val="statistica"/>
      <sheetName val="diluizioni campioni SBAGLIATE"/>
      <sheetName val="SOD results BRUTTI "/>
      <sheetName val="Final results SBAGLIATI"/>
    </sheetNames>
    <sheetDataSet>
      <sheetData sheetId="0" refreshError="1"/>
      <sheetData sheetId="1">
        <row r="33">
          <cell r="E33">
            <v>0.03</v>
          </cell>
          <cell r="F33">
            <v>1.6565755701979001</v>
          </cell>
        </row>
        <row r="34">
          <cell r="E34">
            <v>0.06</v>
          </cell>
          <cell r="F34">
            <v>2.5200358679507571</v>
          </cell>
        </row>
        <row r="35">
          <cell r="E35">
            <v>0.09</v>
          </cell>
          <cell r="F35">
            <v>3.3427212228480854</v>
          </cell>
        </row>
        <row r="36">
          <cell r="E36">
            <v>0.15</v>
          </cell>
          <cell r="F36">
            <v>5.4088574491603083</v>
          </cell>
        </row>
        <row r="37">
          <cell r="E37">
            <v>0.3</v>
          </cell>
          <cell r="F37">
            <v>9.6639906095343857</v>
          </cell>
        </row>
        <row r="38">
          <cell r="E38">
            <v>0.6</v>
          </cell>
          <cell r="F38">
            <v>19.828236580670598</v>
          </cell>
        </row>
      </sheetData>
      <sheetData sheetId="2">
        <row r="2">
          <cell r="K2" t="str">
            <v>Control (site C)</v>
          </cell>
          <cell r="M2">
            <v>16.683152571156178</v>
          </cell>
          <cell r="N2">
            <v>3.188294933430976</v>
          </cell>
        </row>
        <row r="4">
          <cell r="K4" t="str">
            <v>Medium polluted (A)</v>
          </cell>
          <cell r="M4">
            <v>11.002265535455081</v>
          </cell>
          <cell r="N4">
            <v>2.1584013599390675</v>
          </cell>
        </row>
        <row r="5">
          <cell r="K5" t="str">
            <v>Highly polluted (B)</v>
          </cell>
          <cell r="M5">
            <v>9.0654828416288176</v>
          </cell>
          <cell r="N5">
            <v>0.78996653938770911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OTEINES"/>
      <sheetName val="SOD results"/>
      <sheetName val="Final results "/>
    </sheetNames>
    <sheetDataSet>
      <sheetData sheetId="0"/>
      <sheetData sheetId="1">
        <row r="66">
          <cell r="S66">
            <v>0.03</v>
          </cell>
          <cell r="T66">
            <v>1.388505707085077</v>
          </cell>
        </row>
        <row r="67">
          <cell r="S67">
            <v>0.06</v>
          </cell>
          <cell r="T67">
            <v>1.8527607508796222</v>
          </cell>
        </row>
        <row r="68">
          <cell r="S68">
            <v>0.09</v>
          </cell>
          <cell r="T68">
            <v>2.5861084951816462</v>
          </cell>
        </row>
        <row r="69">
          <cell r="S69">
            <v>0.15</v>
          </cell>
          <cell r="T69">
            <v>4.0582307941013376</v>
          </cell>
        </row>
        <row r="70">
          <cell r="S70">
            <v>0.3</v>
          </cell>
          <cell r="T70">
            <v>7.472165333665564</v>
          </cell>
        </row>
        <row r="71">
          <cell r="S71">
            <v>0.6</v>
          </cell>
          <cell r="T71">
            <v>14.476698333123512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9C5D0-649E-4C84-8557-D7FCD2494149}">
  <sheetPr>
    <tabColor theme="5"/>
  </sheetPr>
  <dimension ref="A1:AC68"/>
  <sheetViews>
    <sheetView zoomScale="60" zoomScaleNormal="60" zoomScaleSheetLayoutView="50" workbookViewId="0">
      <selection activeCell="G4" sqref="G4"/>
    </sheetView>
  </sheetViews>
  <sheetFormatPr defaultColWidth="8.77734375" defaultRowHeight="14.4" x14ac:dyDescent="0.3"/>
  <cols>
    <col min="1" max="1" width="21" bestFit="1" customWidth="1"/>
    <col min="2" max="2" width="14.33203125" bestFit="1" customWidth="1"/>
    <col min="3" max="3" width="8.6640625" style="77" bestFit="1" customWidth="1"/>
    <col min="4" max="4" width="8.21875" style="77" bestFit="1" customWidth="1"/>
    <col min="5" max="5" width="10.88671875" style="77" bestFit="1" customWidth="1"/>
    <col min="6" max="6" width="9.21875" style="109" bestFit="1" customWidth="1"/>
    <col min="7" max="7" width="21.33203125" style="109" customWidth="1"/>
    <col min="8" max="8" width="18.6640625" bestFit="1" customWidth="1"/>
    <col min="9" max="9" width="14.88671875" bestFit="1" customWidth="1"/>
    <col min="10" max="10" width="21" bestFit="1" customWidth="1"/>
    <col min="11" max="11" width="10.44140625" bestFit="1" customWidth="1"/>
    <col min="12" max="12" width="33.109375" customWidth="1"/>
    <col min="13" max="13" width="27.109375" bestFit="1" customWidth="1"/>
    <col min="14" max="14" width="20.88671875" bestFit="1" customWidth="1"/>
    <col min="15" max="15" width="18.77734375" bestFit="1" customWidth="1"/>
    <col min="16" max="16" width="15.109375" bestFit="1" customWidth="1"/>
  </cols>
  <sheetData>
    <row r="1" spans="1:21" ht="18" x14ac:dyDescent="0.35">
      <c r="G1" s="217"/>
    </row>
    <row r="2" spans="1:21" x14ac:dyDescent="0.3">
      <c r="G2" s="266"/>
      <c r="J2" s="269"/>
    </row>
    <row r="3" spans="1:21" ht="18.600000000000001" thickBot="1" x14ac:dyDescent="0.35">
      <c r="F3" s="203"/>
      <c r="G3" s="376" t="s">
        <v>94</v>
      </c>
      <c r="J3" s="269"/>
    </row>
    <row r="4" spans="1:21" ht="15" thickBot="1" x14ac:dyDescent="0.35">
      <c r="A4" s="178" t="s">
        <v>0</v>
      </c>
      <c r="B4" s="121" t="s">
        <v>1</v>
      </c>
      <c r="C4" s="126" t="s">
        <v>3</v>
      </c>
      <c r="D4" s="126" t="s">
        <v>4</v>
      </c>
      <c r="E4" s="56" t="s">
        <v>119</v>
      </c>
      <c r="F4" s="127" t="s">
        <v>30</v>
      </c>
      <c r="G4" s="382" t="s">
        <v>25</v>
      </c>
      <c r="H4" s="293" t="s">
        <v>117</v>
      </c>
      <c r="I4" s="113" t="s">
        <v>101</v>
      </c>
      <c r="L4" s="16" t="s">
        <v>34</v>
      </c>
      <c r="M4" s="2"/>
      <c r="N4" s="2"/>
      <c r="O4" s="2"/>
      <c r="R4" s="6"/>
      <c r="S4" s="7"/>
    </row>
    <row r="5" spans="1:21" ht="15" thickBot="1" x14ac:dyDescent="0.35">
      <c r="A5" s="311" t="s">
        <v>89</v>
      </c>
      <c r="B5" s="155">
        <v>1</v>
      </c>
      <c r="C5" s="300">
        <v>0.70499999999999996</v>
      </c>
      <c r="D5" s="300">
        <v>0.70299999999999996</v>
      </c>
      <c r="E5" s="145">
        <f>AVERAGE(C5:D5)</f>
        <v>0.70399999999999996</v>
      </c>
      <c r="F5" s="183">
        <f>(E5-$S$29)/($R$29)</f>
        <v>52.108608790410457</v>
      </c>
      <c r="G5" s="268">
        <f>F5*$N$11</f>
        <v>52.108608790410457</v>
      </c>
      <c r="H5" s="290">
        <f>AVERAGE(G5:G13)</f>
        <v>45.860879041046125</v>
      </c>
      <c r="I5" s="287">
        <f>STDEV(G5:G13)</f>
        <v>3.2597637065910847</v>
      </c>
      <c r="J5" s="2"/>
      <c r="L5" s="228" t="s">
        <v>49</v>
      </c>
      <c r="M5" s="229"/>
      <c r="N5" s="229"/>
      <c r="O5" s="230"/>
      <c r="R5" s="6"/>
      <c r="S5" s="6"/>
    </row>
    <row r="6" spans="1:21" ht="14.4" customHeight="1" x14ac:dyDescent="0.3">
      <c r="A6" s="312"/>
      <c r="B6" s="156">
        <v>2</v>
      </c>
      <c r="C6" s="279">
        <v>0.61399999999999999</v>
      </c>
      <c r="D6" s="279">
        <v>0.60499999999999998</v>
      </c>
      <c r="E6" s="271">
        <f t="shared" ref="E6:E27" si="0">AVERAGE(C6:D6)</f>
        <v>0.60949999999999993</v>
      </c>
      <c r="F6" s="317">
        <f t="shared" ref="F5:F27" si="1">(E6-$S$29)/($R$29)</f>
        <v>45.243370868143835</v>
      </c>
      <c r="G6" s="377">
        <f>F6*$N$11</f>
        <v>45.243370868143835</v>
      </c>
      <c r="H6" s="291"/>
      <c r="I6" s="288"/>
      <c r="J6" s="2"/>
      <c r="L6" s="64"/>
      <c r="M6" s="75" t="s">
        <v>35</v>
      </c>
      <c r="N6" s="65">
        <v>25</v>
      </c>
      <c r="O6" s="66" t="s">
        <v>32</v>
      </c>
      <c r="P6" s="298"/>
      <c r="Q6" s="299"/>
      <c r="R6" s="299"/>
      <c r="S6" s="299"/>
      <c r="T6" s="299"/>
      <c r="U6" s="299"/>
    </row>
    <row r="7" spans="1:21" x14ac:dyDescent="0.3">
      <c r="A7" s="312"/>
      <c r="B7" s="156">
        <v>3</v>
      </c>
      <c r="C7" s="279">
        <v>0.56399999999999995</v>
      </c>
      <c r="D7" s="279">
        <v>0.59099999999999997</v>
      </c>
      <c r="E7" s="271">
        <f t="shared" si="0"/>
        <v>0.5774999999999999</v>
      </c>
      <c r="F7" s="317">
        <f t="shared" si="1"/>
        <v>42.918634217217573</v>
      </c>
      <c r="G7" s="377">
        <f t="shared" ref="G5:G27" si="2">F7*$N$11</f>
        <v>42.918634217217573</v>
      </c>
      <c r="H7" s="291"/>
      <c r="I7" s="288"/>
      <c r="J7" s="2"/>
      <c r="L7" s="67"/>
      <c r="M7" s="73" t="s">
        <v>36</v>
      </c>
      <c r="N7" s="68">
        <v>325</v>
      </c>
      <c r="O7" s="69" t="s">
        <v>32</v>
      </c>
      <c r="P7" s="298"/>
      <c r="Q7" s="299"/>
      <c r="R7" s="299"/>
      <c r="S7" s="299"/>
      <c r="T7" s="299"/>
      <c r="U7" s="299"/>
    </row>
    <row r="8" spans="1:21" ht="15" thickBot="1" x14ac:dyDescent="0.35">
      <c r="A8" s="312"/>
      <c r="B8" s="156">
        <v>4</v>
      </c>
      <c r="C8" s="279">
        <v>0.58199999999999996</v>
      </c>
      <c r="D8" s="279">
        <v>0.51900000000000002</v>
      </c>
      <c r="E8" s="271">
        <f t="shared" si="0"/>
        <v>0.55049999999999999</v>
      </c>
      <c r="F8" s="317">
        <f t="shared" si="1"/>
        <v>40.957137667998545</v>
      </c>
      <c r="G8" s="377">
        <f t="shared" si="2"/>
        <v>40.957137667998545</v>
      </c>
      <c r="H8" s="291"/>
      <c r="I8" s="288"/>
      <c r="J8" s="2"/>
      <c r="L8" s="70"/>
      <c r="M8" s="74" t="s">
        <v>37</v>
      </c>
      <c r="N8" s="79">
        <f>N7/350</f>
        <v>0.9285714285714286</v>
      </c>
      <c r="O8" s="72" t="s">
        <v>33</v>
      </c>
      <c r="P8" s="298"/>
      <c r="Q8" s="299"/>
      <c r="R8" s="299"/>
      <c r="S8" s="299"/>
      <c r="T8" s="299"/>
      <c r="U8" s="299"/>
    </row>
    <row r="9" spans="1:21" x14ac:dyDescent="0.3">
      <c r="A9" s="312"/>
      <c r="B9" s="156">
        <v>5</v>
      </c>
      <c r="C9" s="279">
        <v>0.622</v>
      </c>
      <c r="D9" s="279">
        <v>0.59199999999999997</v>
      </c>
      <c r="E9" s="271">
        <f t="shared" si="0"/>
        <v>0.60699999999999998</v>
      </c>
      <c r="F9" s="317">
        <f t="shared" si="1"/>
        <v>45.061750817290225</v>
      </c>
      <c r="G9" s="377">
        <f t="shared" si="2"/>
        <v>45.061750817290225</v>
      </c>
      <c r="H9" s="291"/>
      <c r="I9" s="288"/>
      <c r="J9" s="2"/>
      <c r="R9" s="20"/>
      <c r="S9" s="6"/>
    </row>
    <row r="10" spans="1:21" ht="15" thickBot="1" x14ac:dyDescent="0.35">
      <c r="A10" s="312"/>
      <c r="B10" s="156">
        <v>6</v>
      </c>
      <c r="C10" s="279">
        <v>0.64</v>
      </c>
      <c r="D10" s="279">
        <v>0.628</v>
      </c>
      <c r="E10" s="271">
        <f t="shared" si="0"/>
        <v>0.63400000000000001</v>
      </c>
      <c r="F10" s="317">
        <f t="shared" si="1"/>
        <v>47.02324736650926</v>
      </c>
      <c r="G10" s="377">
        <f t="shared" si="2"/>
        <v>47.02324736650926</v>
      </c>
      <c r="H10" s="291"/>
      <c r="I10" s="288"/>
      <c r="J10" s="2"/>
      <c r="L10" s="31" t="s">
        <v>116</v>
      </c>
      <c r="R10" s="6"/>
      <c r="S10" s="6"/>
    </row>
    <row r="11" spans="1:21" x14ac:dyDescent="0.3">
      <c r="A11" s="312"/>
      <c r="B11" s="156">
        <v>7</v>
      </c>
      <c r="C11" s="279">
        <v>0.65900000000000003</v>
      </c>
      <c r="D11" s="279">
        <v>0.65800000000000003</v>
      </c>
      <c r="E11" s="271">
        <f t="shared" si="0"/>
        <v>0.65850000000000009</v>
      </c>
      <c r="F11" s="317">
        <f t="shared" si="1"/>
        <v>48.803123864874685</v>
      </c>
      <c r="G11" s="377">
        <f t="shared" si="2"/>
        <v>48.803123864874685</v>
      </c>
      <c r="H11" s="291"/>
      <c r="I11" s="288"/>
      <c r="J11" s="2"/>
      <c r="L11" s="8"/>
      <c r="M11" s="22" t="s">
        <v>9</v>
      </c>
      <c r="N11" s="33">
        <v>1</v>
      </c>
      <c r="O11" s="9" t="s">
        <v>10</v>
      </c>
      <c r="R11" s="6"/>
      <c r="S11" s="6"/>
    </row>
    <row r="12" spans="1:21" ht="14.55" customHeight="1" x14ac:dyDescent="0.3">
      <c r="A12" s="312"/>
      <c r="B12" s="156">
        <v>8</v>
      </c>
      <c r="C12" s="279">
        <v>0.59099999999999997</v>
      </c>
      <c r="D12" s="279">
        <v>0.60499999999999998</v>
      </c>
      <c r="E12" s="271">
        <f t="shared" si="0"/>
        <v>0.59799999999999998</v>
      </c>
      <c r="F12" s="317">
        <f t="shared" si="1"/>
        <v>44.407918634217218</v>
      </c>
      <c r="G12" s="377">
        <f t="shared" si="2"/>
        <v>44.407918634217218</v>
      </c>
      <c r="H12" s="291"/>
      <c r="I12" s="288"/>
      <c r="J12" s="2"/>
      <c r="L12" s="11"/>
      <c r="M12" s="28" t="s">
        <v>11</v>
      </c>
      <c r="N12" s="34">
        <v>0.5</v>
      </c>
      <c r="O12" s="12" t="s">
        <v>12</v>
      </c>
      <c r="R12" s="6"/>
      <c r="S12" s="6"/>
    </row>
    <row r="13" spans="1:21" ht="15" thickBot="1" x14ac:dyDescent="0.35">
      <c r="A13" s="313"/>
      <c r="B13" s="157">
        <v>9</v>
      </c>
      <c r="C13" s="301">
        <v>0.623</v>
      </c>
      <c r="D13" s="301">
        <v>0.623</v>
      </c>
      <c r="E13" s="119">
        <f t="shared" si="0"/>
        <v>0.623</v>
      </c>
      <c r="F13" s="185">
        <f t="shared" si="1"/>
        <v>46.224119142753359</v>
      </c>
      <c r="G13" s="267">
        <f t="shared" si="2"/>
        <v>46.224119142753359</v>
      </c>
      <c r="H13" s="292"/>
      <c r="I13" s="289"/>
      <c r="J13" s="2"/>
      <c r="L13" s="11"/>
      <c r="M13" s="28" t="s">
        <v>13</v>
      </c>
      <c r="N13" s="35">
        <v>1</v>
      </c>
      <c r="O13" s="12" t="s">
        <v>14</v>
      </c>
      <c r="R13" s="6"/>
      <c r="S13" s="6"/>
    </row>
    <row r="14" spans="1:21" ht="15" thickBot="1" x14ac:dyDescent="0.35">
      <c r="A14" s="308" t="s">
        <v>90</v>
      </c>
      <c r="B14" s="155">
        <v>10</v>
      </c>
      <c r="C14" s="300">
        <v>0.55700000000000005</v>
      </c>
      <c r="D14" s="300">
        <v>0.60299999999999998</v>
      </c>
      <c r="E14" s="145">
        <f>AVERAGE(C14:D14)</f>
        <v>0.58000000000000007</v>
      </c>
      <c r="F14" s="183">
        <f t="shared" si="1"/>
        <v>43.100254268071197</v>
      </c>
      <c r="G14" s="268">
        <f t="shared" si="2"/>
        <v>43.100254268071197</v>
      </c>
      <c r="H14" s="290">
        <f>AVERAGE(G14:G22)</f>
        <v>44.020462525729506</v>
      </c>
      <c r="I14" s="287">
        <f>STDEV(G14:G22)</f>
        <v>3.4743113476781375</v>
      </c>
      <c r="L14" s="13"/>
      <c r="M14" s="14"/>
      <c r="N14" s="297"/>
      <c r="O14" s="54"/>
      <c r="R14" s="6"/>
      <c r="S14" s="6"/>
    </row>
    <row r="15" spans="1:21" x14ac:dyDescent="0.3">
      <c r="A15" s="309"/>
      <c r="B15" s="156">
        <v>11</v>
      </c>
      <c r="C15" s="279">
        <v>0.57399999999999995</v>
      </c>
      <c r="D15" s="279">
        <v>0.55100000000000005</v>
      </c>
      <c r="E15" s="271">
        <f>AVERAGE(C15:D15)</f>
        <v>0.5625</v>
      </c>
      <c r="F15" s="317">
        <f t="shared" si="1"/>
        <v>41.828913912095892</v>
      </c>
      <c r="G15" s="377">
        <f t="shared" si="2"/>
        <v>41.828913912095892</v>
      </c>
      <c r="H15" s="291"/>
      <c r="I15" s="288"/>
      <c r="R15" s="6"/>
      <c r="S15" s="6"/>
    </row>
    <row r="16" spans="1:21" ht="15" thickBot="1" x14ac:dyDescent="0.35">
      <c r="A16" s="309"/>
      <c r="B16" s="156">
        <v>12</v>
      </c>
      <c r="C16" s="279">
        <v>0.53900000000000003</v>
      </c>
      <c r="D16" s="279">
        <v>0.621</v>
      </c>
      <c r="E16" s="271">
        <f>AVERAGE(C16:D16)</f>
        <v>0.58000000000000007</v>
      </c>
      <c r="F16" s="317">
        <f t="shared" si="1"/>
        <v>43.100254268071197</v>
      </c>
      <c r="G16" s="377">
        <f t="shared" si="2"/>
        <v>43.100254268071197</v>
      </c>
      <c r="H16" s="291"/>
      <c r="I16" s="288"/>
      <c r="L16" s="16" t="s">
        <v>16</v>
      </c>
      <c r="M16" s="2"/>
      <c r="N16" s="2"/>
      <c r="R16" s="6"/>
      <c r="S16" s="6"/>
    </row>
    <row r="17" spans="1:29" ht="15" thickBot="1" x14ac:dyDescent="0.35">
      <c r="A17" s="309"/>
      <c r="B17" s="156">
        <v>13</v>
      </c>
      <c r="C17" s="279">
        <v>0.629</v>
      </c>
      <c r="D17" s="279">
        <v>0.58799999999999997</v>
      </c>
      <c r="E17" s="271">
        <f t="shared" si="0"/>
        <v>0.60850000000000004</v>
      </c>
      <c r="F17" s="317">
        <f t="shared" si="1"/>
        <v>45.170722847802402</v>
      </c>
      <c r="G17" s="377">
        <f t="shared" si="2"/>
        <v>45.170722847802402</v>
      </c>
      <c r="H17" s="291"/>
      <c r="I17" s="288"/>
      <c r="L17" s="37" t="s">
        <v>17</v>
      </c>
      <c r="M17" s="193" t="s">
        <v>118</v>
      </c>
      <c r="N17" s="294" t="s">
        <v>19</v>
      </c>
      <c r="O17" s="295"/>
      <c r="P17" s="296"/>
      <c r="R17" s="6"/>
      <c r="S17" s="6"/>
    </row>
    <row r="18" spans="1:29" ht="15" thickBot="1" x14ac:dyDescent="0.35">
      <c r="A18" s="309"/>
      <c r="B18" s="156">
        <v>14</v>
      </c>
      <c r="C18" s="279">
        <v>0.61199999999999999</v>
      </c>
      <c r="D18" s="279">
        <v>0.63400000000000001</v>
      </c>
      <c r="E18" s="271">
        <f t="shared" si="0"/>
        <v>0.623</v>
      </c>
      <c r="F18" s="317">
        <f t="shared" si="1"/>
        <v>46.224119142753359</v>
      </c>
      <c r="G18" s="377">
        <f t="shared" si="2"/>
        <v>46.224119142753359</v>
      </c>
      <c r="H18" s="291"/>
      <c r="I18" s="288"/>
      <c r="L18" s="314" t="s">
        <v>88</v>
      </c>
      <c r="M18" s="378">
        <f>H23</f>
        <v>40.158009444242644</v>
      </c>
      <c r="N18" s="379">
        <f>I23</f>
        <v>5.211134713559006</v>
      </c>
      <c r="R18" s="6"/>
      <c r="S18" s="6"/>
    </row>
    <row r="19" spans="1:29" x14ac:dyDescent="0.3">
      <c r="A19" s="309"/>
      <c r="B19" s="156">
        <v>15</v>
      </c>
      <c r="C19" s="279">
        <v>0.56399999999999995</v>
      </c>
      <c r="D19" s="279">
        <v>0.79200000000000004</v>
      </c>
      <c r="E19" s="271">
        <f t="shared" si="0"/>
        <v>0.67799999999999994</v>
      </c>
      <c r="F19" s="317">
        <f t="shared" si="1"/>
        <v>50.219760261532869</v>
      </c>
      <c r="G19" s="377">
        <f t="shared" si="2"/>
        <v>50.219760261532869</v>
      </c>
      <c r="H19" s="291"/>
      <c r="I19" s="288"/>
      <c r="L19" s="315" t="s">
        <v>89</v>
      </c>
      <c r="M19" s="378">
        <f>H5</f>
        <v>45.860879041046125</v>
      </c>
      <c r="N19" s="379">
        <f>I5</f>
        <v>3.2597637065910847</v>
      </c>
      <c r="R19" s="6"/>
      <c r="S19" s="6"/>
    </row>
    <row r="20" spans="1:29" ht="15" thickBot="1" x14ac:dyDescent="0.35">
      <c r="A20" s="309"/>
      <c r="B20" s="156">
        <v>16</v>
      </c>
      <c r="C20" s="279">
        <v>0.48799999999999999</v>
      </c>
      <c r="D20" s="279">
        <v>0.54600000000000004</v>
      </c>
      <c r="E20" s="271">
        <f t="shared" si="0"/>
        <v>0.51700000000000002</v>
      </c>
      <c r="F20" s="317">
        <f t="shared" si="1"/>
        <v>38.52342898656012</v>
      </c>
      <c r="G20" s="377">
        <f t="shared" si="2"/>
        <v>38.52342898656012</v>
      </c>
      <c r="H20" s="291"/>
      <c r="I20" s="288"/>
      <c r="L20" s="316" t="s">
        <v>90</v>
      </c>
      <c r="M20" s="380">
        <f>H14</f>
        <v>44.020462525729506</v>
      </c>
      <c r="N20" s="381">
        <f>I14</f>
        <v>3.4743113476781375</v>
      </c>
      <c r="R20" s="6"/>
      <c r="S20" s="6"/>
    </row>
    <row r="21" spans="1:29" ht="18.600000000000001" thickBot="1" x14ac:dyDescent="0.4">
      <c r="A21" s="309"/>
      <c r="B21" s="156">
        <v>17</v>
      </c>
      <c r="C21" s="279">
        <v>0.64600000000000002</v>
      </c>
      <c r="D21" s="279">
        <v>0.61499999999999999</v>
      </c>
      <c r="E21" s="271">
        <f t="shared" si="0"/>
        <v>0.63050000000000006</v>
      </c>
      <c r="F21" s="317">
        <f t="shared" si="1"/>
        <v>46.768979295314203</v>
      </c>
      <c r="G21" s="377">
        <f t="shared" si="2"/>
        <v>46.768979295314203</v>
      </c>
      <c r="H21" s="291"/>
      <c r="I21" s="288"/>
      <c r="J21" s="216" t="s">
        <v>29</v>
      </c>
    </row>
    <row r="22" spans="1:29" ht="15" thickBot="1" x14ac:dyDescent="0.35">
      <c r="A22" s="310"/>
      <c r="B22" s="157">
        <v>18</v>
      </c>
      <c r="C22" s="301">
        <v>0.56399999999999995</v>
      </c>
      <c r="D22" s="301">
        <v>0.54500000000000004</v>
      </c>
      <c r="E22" s="119">
        <f t="shared" si="0"/>
        <v>0.55449999999999999</v>
      </c>
      <c r="F22" s="185">
        <f t="shared" si="1"/>
        <v>41.247729749364325</v>
      </c>
      <c r="G22" s="267">
        <f t="shared" si="2"/>
        <v>41.247729749364325</v>
      </c>
      <c r="H22" s="292"/>
      <c r="I22" s="289"/>
      <c r="J22" s="207" t="s">
        <v>96</v>
      </c>
      <c r="K22" s="208"/>
      <c r="L22" s="213" t="s">
        <v>100</v>
      </c>
      <c r="M22" s="2"/>
      <c r="N22" s="2"/>
      <c r="O22" s="2"/>
      <c r="P22" s="6"/>
      <c r="Q22" s="6"/>
    </row>
    <row r="23" spans="1:29" ht="29.4" thickBot="1" x14ac:dyDescent="0.35">
      <c r="A23" s="306" t="s">
        <v>88</v>
      </c>
      <c r="B23" s="155">
        <v>19</v>
      </c>
      <c r="C23" s="300">
        <v>0.45500000000000002</v>
      </c>
      <c r="D23" s="300">
        <v>0.46500000000000002</v>
      </c>
      <c r="E23" s="145">
        <f t="shared" si="0"/>
        <v>0.46</v>
      </c>
      <c r="F23" s="183">
        <f t="shared" si="1"/>
        <v>34.382491827097709</v>
      </c>
      <c r="G23" s="268">
        <f t="shared" si="2"/>
        <v>34.382491827097709</v>
      </c>
      <c r="H23" s="290">
        <f>AVERAGE(G23:G27)</f>
        <v>40.158009444242644</v>
      </c>
      <c r="I23" s="287">
        <f>STDEV(G23:G27)</f>
        <v>5.211134713559006</v>
      </c>
      <c r="J23" s="202">
        <v>40</v>
      </c>
      <c r="K23" s="209" t="s">
        <v>97</v>
      </c>
      <c r="L23" s="214">
        <v>1000</v>
      </c>
      <c r="M23" s="2"/>
      <c r="N23" s="2"/>
      <c r="O23" s="2"/>
      <c r="P23" s="281"/>
      <c r="Q23" s="6"/>
    </row>
    <row r="24" spans="1:29" ht="16.2" thickBot="1" x14ac:dyDescent="0.35">
      <c r="A24" s="307"/>
      <c r="B24" s="156">
        <v>20</v>
      </c>
      <c r="C24" s="279">
        <v>0.59899999999999998</v>
      </c>
      <c r="D24" s="279">
        <v>0.6</v>
      </c>
      <c r="E24" s="271">
        <f t="shared" si="0"/>
        <v>0.59949999999999992</v>
      </c>
      <c r="F24" s="317">
        <f t="shared" si="1"/>
        <v>44.516890664729381</v>
      </c>
      <c r="G24" s="377">
        <f t="shared" si="2"/>
        <v>44.516890664729381</v>
      </c>
      <c r="H24" s="291"/>
      <c r="I24" s="288"/>
      <c r="J24" s="210" t="s">
        <v>99</v>
      </c>
      <c r="K24" s="211" t="s">
        <v>98</v>
      </c>
      <c r="L24" s="204" t="s">
        <v>95</v>
      </c>
      <c r="M24" s="52" t="s">
        <v>120</v>
      </c>
      <c r="N24" s="52" t="s">
        <v>121</v>
      </c>
      <c r="O24" s="51" t="s">
        <v>119</v>
      </c>
      <c r="P24" s="285"/>
      <c r="Q24" s="6"/>
    </row>
    <row r="25" spans="1:29" x14ac:dyDescent="0.3">
      <c r="A25" s="307"/>
      <c r="B25" s="156">
        <v>21</v>
      </c>
      <c r="C25" s="279">
        <v>0.56799999999999995</v>
      </c>
      <c r="D25" s="279">
        <v>0.58099999999999996</v>
      </c>
      <c r="E25" s="271">
        <f t="shared" si="0"/>
        <v>0.57450000000000001</v>
      </c>
      <c r="F25" s="317">
        <f t="shared" si="1"/>
        <v>42.700690156193247</v>
      </c>
      <c r="G25" s="377">
        <f t="shared" si="2"/>
        <v>42.700690156193247</v>
      </c>
      <c r="H25" s="291"/>
      <c r="I25" s="288"/>
      <c r="J25">
        <v>0</v>
      </c>
      <c r="K25">
        <f>J25*$J$23</f>
        <v>0</v>
      </c>
      <c r="L25" s="215">
        <f>K25/$L$23</f>
        <v>0</v>
      </c>
      <c r="M25" s="134">
        <v>-3.9E-2</v>
      </c>
      <c r="N25" s="134">
        <v>-4.2000000000000003E-2</v>
      </c>
      <c r="O25" s="116">
        <f>AVERAGE(M25:N25)</f>
        <v>-4.0500000000000001E-2</v>
      </c>
      <c r="P25" s="277"/>
      <c r="Q25" s="6"/>
    </row>
    <row r="26" spans="1:29" x14ac:dyDescent="0.3">
      <c r="A26" s="307"/>
      <c r="B26" s="156">
        <v>22</v>
      </c>
      <c r="C26" s="279">
        <v>0.59599999999999997</v>
      </c>
      <c r="D26" s="279">
        <v>0.60399999999999998</v>
      </c>
      <c r="E26" s="271">
        <f t="shared" si="0"/>
        <v>0.6</v>
      </c>
      <c r="F26" s="317">
        <f t="shared" si="1"/>
        <v>44.553214674900104</v>
      </c>
      <c r="G26" s="377">
        <f t="shared" si="2"/>
        <v>44.553214674900104</v>
      </c>
      <c r="H26" s="291"/>
      <c r="I26" s="288"/>
      <c r="J26">
        <v>125</v>
      </c>
      <c r="K26">
        <f>J26*$J$23</f>
        <v>5000</v>
      </c>
      <c r="L26" s="205">
        <f>K26/$L$23</f>
        <v>5</v>
      </c>
      <c r="M26" s="134">
        <v>4.7E-2</v>
      </c>
      <c r="N26" s="134">
        <v>4.9000000000000002E-2</v>
      </c>
      <c r="O26" s="116">
        <f>AVERAGE(M26:N26)</f>
        <v>4.8000000000000001E-2</v>
      </c>
      <c r="P26" s="286"/>
      <c r="Q26" s="6"/>
    </row>
    <row r="27" spans="1:29" ht="18.600000000000001" thickBot="1" x14ac:dyDescent="0.35">
      <c r="A27" s="318"/>
      <c r="B27" s="157">
        <v>23</v>
      </c>
      <c r="C27" s="301">
        <v>0.47299999999999998</v>
      </c>
      <c r="D27" s="301">
        <v>0.45400000000000001</v>
      </c>
      <c r="E27" s="119">
        <f t="shared" si="0"/>
        <v>0.46350000000000002</v>
      </c>
      <c r="F27" s="185">
        <f t="shared" si="1"/>
        <v>34.636759898292773</v>
      </c>
      <c r="G27" s="267">
        <f t="shared" si="2"/>
        <v>34.636759898292773</v>
      </c>
      <c r="H27" s="292"/>
      <c r="I27" s="289"/>
      <c r="J27">
        <v>250</v>
      </c>
      <c r="K27">
        <f>J27*$J$23</f>
        <v>10000</v>
      </c>
      <c r="L27" s="205">
        <f>K27/$L$23</f>
        <v>10</v>
      </c>
      <c r="M27" s="134">
        <v>0.14000000000000001</v>
      </c>
      <c r="N27" s="134">
        <v>0.14499999999999999</v>
      </c>
      <c r="O27" s="116">
        <f>AVERAGE(M27:N27)</f>
        <v>0.14250000000000002</v>
      </c>
      <c r="P27" s="286"/>
      <c r="Q27" s="21"/>
      <c r="AA27" s="259"/>
      <c r="AB27" s="281"/>
      <c r="AC27" s="259"/>
    </row>
    <row r="28" spans="1:29" ht="15" thickBot="1" x14ac:dyDescent="0.35">
      <c r="A28" s="170"/>
      <c r="E28" s="10"/>
      <c r="J28">
        <v>500</v>
      </c>
      <c r="K28">
        <f>J28*$J$23</f>
        <v>20000</v>
      </c>
      <c r="L28" s="205">
        <f>K28/$L$23</f>
        <v>20</v>
      </c>
      <c r="M28" s="134">
        <v>0.28399999999999997</v>
      </c>
      <c r="N28" s="134">
        <v>0.32100000000000001</v>
      </c>
      <c r="O28" s="116">
        <f>AVERAGE(M28:N28)</f>
        <v>0.30249999999999999</v>
      </c>
      <c r="P28" s="286"/>
      <c r="R28" s="50" t="s">
        <v>28</v>
      </c>
      <c r="S28" s="49" t="s">
        <v>27</v>
      </c>
      <c r="T28" s="48" t="s">
        <v>40</v>
      </c>
      <c r="AA28" s="284"/>
      <c r="AB28" s="284"/>
      <c r="AC28" s="284"/>
    </row>
    <row r="29" spans="1:29" ht="15" thickBot="1" x14ac:dyDescent="0.35">
      <c r="E29" s="10"/>
      <c r="J29">
        <v>1000</v>
      </c>
      <c r="K29">
        <f>J29*$J$23</f>
        <v>40000</v>
      </c>
      <c r="L29" s="206">
        <f>K29/$L$23</f>
        <v>40</v>
      </c>
      <c r="M29" s="212">
        <v>0.498</v>
      </c>
      <c r="N29" s="212">
        <v>0.52900000000000003</v>
      </c>
      <c r="O29" s="117">
        <f>AVERAGE(M29:N29)</f>
        <v>0.51350000000000007</v>
      </c>
      <c r="P29" s="286"/>
      <c r="R29" s="200">
        <f>SLOPE(O25:O29,L25:L29)</f>
        <v>1.3765000000000001E-2</v>
      </c>
      <c r="S29" s="201">
        <f>INTERCEPT(O25:O29,L25:L29)</f>
        <v>-1.3275000000000009E-2</v>
      </c>
      <c r="T29" s="45">
        <f>RSQ(O25:O29,L25:L29)</f>
        <v>0.98271555922530096</v>
      </c>
      <c r="AA29" s="282"/>
      <c r="AB29" s="282"/>
      <c r="AC29" s="282"/>
    </row>
    <row r="30" spans="1:29" x14ac:dyDescent="0.3">
      <c r="A30" s="170"/>
      <c r="E30" s="10"/>
      <c r="L30" s="2"/>
      <c r="O30" s="6"/>
      <c r="P30" s="6"/>
      <c r="Q30" s="6"/>
      <c r="AA30" s="283"/>
      <c r="AB30" s="283"/>
      <c r="AC30" s="283"/>
    </row>
    <row r="31" spans="1:29" x14ac:dyDescent="0.3">
      <c r="A31" s="274"/>
      <c r="B31" s="259"/>
      <c r="C31" s="275"/>
      <c r="D31" s="275"/>
      <c r="E31" s="276"/>
      <c r="F31" s="277"/>
      <c r="G31" s="277"/>
      <c r="L31" s="83"/>
      <c r="P31" s="6"/>
      <c r="Q31" s="6"/>
    </row>
    <row r="32" spans="1:29" x14ac:dyDescent="0.3">
      <c r="A32" s="274" t="s">
        <v>20</v>
      </c>
      <c r="B32" s="259"/>
      <c r="C32" s="275"/>
      <c r="D32" s="275"/>
      <c r="E32" s="276"/>
      <c r="F32" s="277"/>
      <c r="G32" s="277"/>
      <c r="P32" s="6"/>
      <c r="Q32" s="6"/>
    </row>
    <row r="33" spans="1:22" x14ac:dyDescent="0.3">
      <c r="A33" s="274"/>
      <c r="B33" s="259"/>
      <c r="C33" s="275"/>
      <c r="D33" s="275"/>
      <c r="E33" s="276"/>
      <c r="F33" s="277"/>
      <c r="G33" s="277"/>
      <c r="O33" s="6"/>
      <c r="P33" s="6"/>
      <c r="Q33" s="6"/>
    </row>
    <row r="34" spans="1:22" x14ac:dyDescent="0.3">
      <c r="A34" s="274"/>
      <c r="B34" s="259"/>
      <c r="C34" s="275"/>
      <c r="D34" s="275"/>
      <c r="E34" s="276"/>
      <c r="F34" s="277"/>
      <c r="G34" s="277"/>
      <c r="O34" s="6"/>
      <c r="P34" s="6"/>
      <c r="Q34" s="6"/>
    </row>
    <row r="35" spans="1:22" x14ac:dyDescent="0.3">
      <c r="A35" s="274"/>
      <c r="B35" s="259"/>
      <c r="C35" s="275"/>
      <c r="D35" s="275"/>
      <c r="E35" s="276"/>
      <c r="F35" s="277"/>
      <c r="G35" s="277"/>
      <c r="O35" s="6"/>
      <c r="P35" s="6"/>
      <c r="Q35" s="6"/>
      <c r="V35" t="s">
        <v>93</v>
      </c>
    </row>
    <row r="36" spans="1:22" x14ac:dyDescent="0.3">
      <c r="A36" s="274"/>
      <c r="B36" s="259"/>
      <c r="C36" s="275"/>
      <c r="D36" s="275"/>
      <c r="E36" s="276"/>
      <c r="F36" s="277"/>
      <c r="G36" s="277"/>
      <c r="O36" s="6" t="s">
        <v>2</v>
      </c>
      <c r="P36" s="6"/>
      <c r="Q36" s="6"/>
      <c r="V36" t="s">
        <v>56</v>
      </c>
    </row>
    <row r="37" spans="1:22" x14ac:dyDescent="0.3">
      <c r="A37" s="274"/>
      <c r="B37" s="259"/>
      <c r="C37" s="275"/>
      <c r="D37" s="275"/>
      <c r="E37" s="276"/>
      <c r="F37" s="277"/>
      <c r="G37" s="277"/>
      <c r="O37" s="6"/>
      <c r="P37" s="6"/>
      <c r="Q37" s="6"/>
      <c r="V37" t="s">
        <v>57</v>
      </c>
    </row>
    <row r="38" spans="1:22" x14ac:dyDescent="0.3">
      <c r="A38" s="274"/>
      <c r="B38" s="259"/>
      <c r="C38" s="275"/>
      <c r="D38" s="275"/>
      <c r="E38" s="276"/>
      <c r="F38" s="277"/>
      <c r="G38" s="277"/>
      <c r="O38" s="6"/>
      <c r="P38" s="6"/>
      <c r="Q38" s="6"/>
      <c r="V38" t="s">
        <v>102</v>
      </c>
    </row>
    <row r="39" spans="1:22" x14ac:dyDescent="0.3">
      <c r="A39" s="274"/>
      <c r="B39" s="259"/>
      <c r="C39" s="275"/>
      <c r="D39" s="275"/>
      <c r="E39" s="276"/>
      <c r="F39" s="277"/>
      <c r="G39" s="277"/>
    </row>
    <row r="40" spans="1:22" x14ac:dyDescent="0.3">
      <c r="A40" s="274"/>
      <c r="B40" s="259"/>
      <c r="C40" s="275"/>
      <c r="D40" s="275"/>
      <c r="E40" s="276"/>
      <c r="F40" s="277"/>
      <c r="G40" s="277"/>
    </row>
    <row r="41" spans="1:22" x14ac:dyDescent="0.3">
      <c r="A41" s="259"/>
      <c r="B41" s="259"/>
      <c r="C41" s="275"/>
      <c r="D41" s="275"/>
      <c r="E41" s="275"/>
      <c r="F41" s="277"/>
      <c r="G41" s="277"/>
    </row>
    <row r="42" spans="1:22" x14ac:dyDescent="0.3">
      <c r="A42" s="259"/>
      <c r="B42" s="259"/>
      <c r="C42" s="275"/>
      <c r="D42" s="275"/>
      <c r="E42" s="275"/>
      <c r="F42" s="277"/>
      <c r="G42" s="277"/>
    </row>
    <row r="43" spans="1:22" x14ac:dyDescent="0.3">
      <c r="A43" s="259"/>
      <c r="B43" s="259"/>
      <c r="C43" s="275"/>
      <c r="D43" s="275"/>
      <c r="E43" s="275"/>
      <c r="F43" s="277"/>
      <c r="G43" s="277"/>
      <c r="P43" s="6"/>
    </row>
    <row r="44" spans="1:22" x14ac:dyDescent="0.3">
      <c r="A44" s="259"/>
      <c r="B44" s="259"/>
      <c r="C44" s="275"/>
      <c r="D44" s="275"/>
      <c r="E44" s="275"/>
      <c r="F44" s="277"/>
      <c r="G44" s="277"/>
      <c r="P44" s="6"/>
    </row>
    <row r="45" spans="1:22" x14ac:dyDescent="0.3">
      <c r="A45" s="259"/>
      <c r="B45" s="259"/>
      <c r="C45" s="275"/>
      <c r="D45" s="275"/>
      <c r="E45" s="275"/>
      <c r="F45" s="277"/>
      <c r="G45" s="277"/>
      <c r="P45" s="6"/>
    </row>
    <row r="46" spans="1:22" x14ac:dyDescent="0.3">
      <c r="A46" s="259"/>
      <c r="B46" s="259"/>
      <c r="C46" s="275"/>
      <c r="D46" s="275"/>
      <c r="E46" s="275"/>
      <c r="F46" s="277"/>
      <c r="G46" s="277"/>
      <c r="P46" s="6"/>
    </row>
    <row r="47" spans="1:22" x14ac:dyDescent="0.3">
      <c r="A47" s="259"/>
      <c r="B47" s="259"/>
      <c r="C47" s="275"/>
      <c r="D47" s="275"/>
      <c r="E47" s="275"/>
      <c r="F47" s="277"/>
      <c r="G47" s="277"/>
      <c r="P47" s="6"/>
    </row>
    <row r="48" spans="1:22" x14ac:dyDescent="0.3">
      <c r="A48" s="259"/>
      <c r="B48" s="279"/>
      <c r="C48" s="279"/>
      <c r="D48" s="279"/>
      <c r="E48" s="279"/>
      <c r="F48" s="279"/>
      <c r="G48" s="279"/>
      <c r="H48" s="172"/>
      <c r="I48" s="172"/>
      <c r="J48" s="172"/>
      <c r="K48" s="172"/>
      <c r="O48" s="6"/>
      <c r="P48" s="6"/>
    </row>
    <row r="49" spans="1:16" x14ac:dyDescent="0.3">
      <c r="A49" s="259"/>
      <c r="B49" s="279"/>
      <c r="C49" s="279"/>
      <c r="D49" s="279"/>
      <c r="E49" s="279"/>
      <c r="F49" s="279"/>
      <c r="G49" s="279"/>
      <c r="H49" s="172"/>
      <c r="I49" s="172"/>
      <c r="J49" s="172"/>
      <c r="K49" s="172"/>
      <c r="O49" s="6"/>
      <c r="P49" s="6"/>
    </row>
    <row r="50" spans="1:16" x14ac:dyDescent="0.3">
      <c r="A50" s="259"/>
      <c r="B50" s="279"/>
      <c r="C50" s="279"/>
      <c r="D50" s="279"/>
      <c r="E50" s="279"/>
      <c r="F50" s="279"/>
      <c r="G50" s="279"/>
      <c r="H50" s="172"/>
      <c r="I50" s="172"/>
      <c r="J50" s="172"/>
      <c r="K50" s="172"/>
      <c r="O50" s="6"/>
      <c r="P50" s="6"/>
    </row>
    <row r="51" spans="1:16" x14ac:dyDescent="0.3">
      <c r="A51" s="259"/>
      <c r="B51" s="279"/>
      <c r="C51" s="279"/>
      <c r="D51" s="279"/>
      <c r="E51" s="279"/>
      <c r="F51" s="279"/>
      <c r="G51" s="279"/>
      <c r="H51" s="172"/>
      <c r="I51" s="172"/>
      <c r="J51" s="172"/>
      <c r="K51" s="172"/>
    </row>
    <row r="52" spans="1:16" x14ac:dyDescent="0.3">
      <c r="A52" s="259"/>
      <c r="B52" s="279"/>
      <c r="C52" s="279"/>
      <c r="D52" s="279"/>
      <c r="E52" s="279"/>
      <c r="F52" s="279"/>
      <c r="G52" s="280"/>
      <c r="H52" s="135"/>
      <c r="I52" s="135"/>
      <c r="J52" s="135"/>
      <c r="K52" s="135"/>
    </row>
    <row r="53" spans="1:16" x14ac:dyDescent="0.3">
      <c r="A53" s="259"/>
      <c r="B53" s="279"/>
      <c r="C53" s="279"/>
      <c r="D53" s="279"/>
      <c r="E53" s="279"/>
      <c r="F53" s="279"/>
      <c r="G53" s="277"/>
    </row>
    <row r="54" spans="1:16" x14ac:dyDescent="0.3">
      <c r="A54" s="259"/>
      <c r="B54" s="259"/>
      <c r="C54" s="275"/>
      <c r="D54" s="275"/>
      <c r="E54" s="275"/>
      <c r="F54" s="277"/>
      <c r="G54" s="277"/>
    </row>
    <row r="55" spans="1:16" x14ac:dyDescent="0.3">
      <c r="A55" s="259"/>
      <c r="B55" s="259"/>
      <c r="C55" s="275"/>
      <c r="D55" s="275"/>
      <c r="E55" s="275"/>
      <c r="F55" s="277"/>
      <c r="G55" s="277"/>
    </row>
    <row r="56" spans="1:16" x14ac:dyDescent="0.3">
      <c r="A56" s="259"/>
      <c r="B56" s="259"/>
      <c r="C56" s="275"/>
      <c r="D56" s="275"/>
      <c r="E56" s="275"/>
      <c r="F56" s="277"/>
      <c r="G56" s="277"/>
    </row>
    <row r="57" spans="1:16" x14ac:dyDescent="0.3">
      <c r="A57" s="259"/>
      <c r="B57" s="259"/>
      <c r="C57" s="275"/>
      <c r="D57" s="275"/>
      <c r="E57" s="275"/>
      <c r="F57" s="277"/>
      <c r="G57" s="277"/>
      <c r="P57" s="2"/>
    </row>
    <row r="58" spans="1:16" x14ac:dyDescent="0.3">
      <c r="A58" s="259"/>
      <c r="B58" s="259"/>
      <c r="C58" s="275"/>
      <c r="D58" s="275"/>
      <c r="E58" s="275"/>
      <c r="F58" s="277"/>
      <c r="G58" s="277"/>
      <c r="P58" s="2"/>
    </row>
    <row r="59" spans="1:16" x14ac:dyDescent="0.3">
      <c r="A59" s="259"/>
      <c r="B59" s="259"/>
      <c r="C59" s="275"/>
      <c r="D59" s="275"/>
      <c r="E59" s="275"/>
      <c r="F59" s="277"/>
      <c r="G59" s="277"/>
      <c r="P59" s="2"/>
    </row>
    <row r="60" spans="1:16" x14ac:dyDescent="0.3">
      <c r="A60" s="259"/>
      <c r="B60" s="259"/>
      <c r="C60" s="275"/>
      <c r="D60" s="275"/>
      <c r="E60" s="275"/>
      <c r="F60" s="277"/>
      <c r="G60" s="277"/>
      <c r="P60" s="2"/>
    </row>
    <row r="61" spans="1:16" x14ac:dyDescent="0.3">
      <c r="P61" s="2"/>
    </row>
    <row r="62" spans="1:16" x14ac:dyDescent="0.3">
      <c r="P62" s="2"/>
    </row>
    <row r="63" spans="1:16" x14ac:dyDescent="0.3">
      <c r="P63" s="2"/>
    </row>
    <row r="64" spans="1:16" x14ac:dyDescent="0.3">
      <c r="P64" s="2"/>
    </row>
    <row r="65" spans="15:16" x14ac:dyDescent="0.3">
      <c r="P65" s="2"/>
    </row>
    <row r="66" spans="15:16" x14ac:dyDescent="0.3">
      <c r="O66" s="6"/>
      <c r="P66" s="2"/>
    </row>
    <row r="67" spans="15:16" x14ac:dyDescent="0.3">
      <c r="P67" s="2"/>
    </row>
    <row r="68" spans="15:16" x14ac:dyDescent="0.3">
      <c r="P68" s="2"/>
    </row>
  </sheetData>
  <mergeCells count="10">
    <mergeCell ref="A5:A13"/>
    <mergeCell ref="A14:A22"/>
    <mergeCell ref="A23:A27"/>
    <mergeCell ref="L5:O5"/>
    <mergeCell ref="H5:H13"/>
    <mergeCell ref="I5:I13"/>
    <mergeCell ref="H14:H22"/>
    <mergeCell ref="I14:I22"/>
    <mergeCell ref="H23:H27"/>
    <mergeCell ref="I23:I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85C1-1FED-4FEC-9E3F-FF588F8C76E8}">
  <dimension ref="A1:B22"/>
  <sheetViews>
    <sheetView workbookViewId="0">
      <selection activeCell="C2" sqref="C2:C22"/>
    </sheetView>
  </sheetViews>
  <sheetFormatPr defaultRowHeight="14.4" x14ac:dyDescent="0.3"/>
  <cols>
    <col min="1" max="1" width="14.77734375" bestFit="1" customWidth="1"/>
  </cols>
  <sheetData>
    <row r="1" spans="1:2" x14ac:dyDescent="0.3">
      <c r="A1" s="194" t="s">
        <v>91</v>
      </c>
      <c r="B1" s="194" t="s">
        <v>92</v>
      </c>
    </row>
    <row r="2" spans="1:2" x14ac:dyDescent="0.3">
      <c r="A2" t="s">
        <v>88</v>
      </c>
      <c r="B2" s="2">
        <v>484.04194523808297</v>
      </c>
    </row>
    <row r="3" spans="1:2" x14ac:dyDescent="0.3">
      <c r="A3" t="s">
        <v>88</v>
      </c>
      <c r="B3" s="2">
        <v>353.2905994793515</v>
      </c>
    </row>
    <row r="4" spans="1:2" x14ac:dyDescent="0.3">
      <c r="A4" t="s">
        <v>88</v>
      </c>
      <c r="B4" s="2">
        <v>537.36342003894845</v>
      </c>
    </row>
    <row r="5" spans="1:2" x14ac:dyDescent="0.3">
      <c r="A5" t="s">
        <v>88</v>
      </c>
      <c r="B5" s="2">
        <v>542.23967712429896</v>
      </c>
    </row>
    <row r="6" spans="1:2" x14ac:dyDescent="0.3">
      <c r="A6" t="s">
        <v>88</v>
      </c>
      <c r="B6" s="2">
        <v>553.82495581370847</v>
      </c>
    </row>
    <row r="7" spans="1:2" x14ac:dyDescent="0.3">
      <c r="A7" t="s">
        <v>89</v>
      </c>
      <c r="B7" s="2">
        <v>422.78149555222546</v>
      </c>
    </row>
    <row r="8" spans="1:2" x14ac:dyDescent="0.3">
      <c r="A8" t="s">
        <v>89</v>
      </c>
      <c r="B8" s="2">
        <v>488.22376549404783</v>
      </c>
    </row>
    <row r="9" spans="1:2" x14ac:dyDescent="0.3">
      <c r="A9" t="s">
        <v>89</v>
      </c>
      <c r="B9" s="2">
        <v>305.81416445355768</v>
      </c>
    </row>
    <row r="10" spans="1:2" x14ac:dyDescent="0.3">
      <c r="A10" t="s">
        <v>89</v>
      </c>
      <c r="B10" s="2">
        <v>301.09390320212469</v>
      </c>
    </row>
    <row r="11" spans="1:2" x14ac:dyDescent="0.3">
      <c r="A11" t="s">
        <v>89</v>
      </c>
      <c r="B11" s="2">
        <v>381.80879555108737</v>
      </c>
    </row>
    <row r="12" spans="1:2" x14ac:dyDescent="0.3">
      <c r="A12" t="s">
        <v>89</v>
      </c>
      <c r="B12" s="2">
        <v>412.64558004569017</v>
      </c>
    </row>
    <row r="13" spans="1:2" x14ac:dyDescent="0.3">
      <c r="A13" t="s">
        <v>89</v>
      </c>
      <c r="B13" s="2">
        <v>280.26726406843784</v>
      </c>
    </row>
    <row r="14" spans="1:2" x14ac:dyDescent="0.3">
      <c r="A14" t="s">
        <v>89</v>
      </c>
      <c r="B14" s="2">
        <v>317.19906721134578</v>
      </c>
    </row>
    <row r="15" spans="1:2" x14ac:dyDescent="0.3">
      <c r="A15" t="s">
        <v>90</v>
      </c>
      <c r="B15">
        <v>252.93682367478249</v>
      </c>
    </row>
    <row r="16" spans="1:2" x14ac:dyDescent="0.3">
      <c r="A16" t="s">
        <v>90</v>
      </c>
      <c r="B16" s="2">
        <v>401.03234595093392</v>
      </c>
    </row>
    <row r="17" spans="1:2" x14ac:dyDescent="0.3">
      <c r="A17" t="s">
        <v>90</v>
      </c>
      <c r="B17" s="2">
        <v>297.23980353873742</v>
      </c>
    </row>
    <row r="18" spans="1:2" x14ac:dyDescent="0.3">
      <c r="A18" t="s">
        <v>90</v>
      </c>
      <c r="B18" s="2">
        <v>234.86652947390351</v>
      </c>
    </row>
    <row r="19" spans="1:2" x14ac:dyDescent="0.3">
      <c r="A19" t="s">
        <v>90</v>
      </c>
      <c r="B19" s="2">
        <v>339.26710823610762</v>
      </c>
    </row>
    <row r="20" spans="1:2" x14ac:dyDescent="0.3">
      <c r="A20" t="s">
        <v>90</v>
      </c>
      <c r="B20" s="2">
        <v>169.94749034593886</v>
      </c>
    </row>
    <row r="21" spans="1:2" x14ac:dyDescent="0.3">
      <c r="A21" t="s">
        <v>90</v>
      </c>
      <c r="B21" s="2">
        <v>222.0116884749622</v>
      </c>
    </row>
    <row r="22" spans="1:2" x14ac:dyDescent="0.3">
      <c r="A22" t="s">
        <v>90</v>
      </c>
      <c r="B22">
        <v>271.8974252231265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5C41-94AB-4D03-82F8-E743971C667B}">
  <sheetPr>
    <tabColor theme="0" tint="-0.34998626667073579"/>
  </sheetPr>
  <dimension ref="A1:AE65"/>
  <sheetViews>
    <sheetView zoomScale="60" zoomScaleNormal="60" zoomScaleSheetLayoutView="50" workbookViewId="0">
      <selection activeCell="I3" sqref="I3:I25"/>
    </sheetView>
  </sheetViews>
  <sheetFormatPr defaultColWidth="8.77734375" defaultRowHeight="14.4" x14ac:dyDescent="0.3"/>
  <cols>
    <col min="1" max="1" width="16.109375" bestFit="1" customWidth="1"/>
    <col min="3" max="3" width="6.44140625" style="77" customWidth="1"/>
    <col min="4" max="4" width="7" style="77" customWidth="1"/>
    <col min="5" max="5" width="7.44140625" style="77" customWidth="1"/>
    <col min="6" max="6" width="7.109375" style="109" customWidth="1"/>
    <col min="7" max="7" width="16" style="109" bestFit="1" customWidth="1"/>
    <col min="8" max="8" width="11" style="109" bestFit="1" customWidth="1"/>
    <col min="9" max="9" width="19.109375" customWidth="1"/>
    <col min="10" max="10" width="28.21875" bestFit="1" customWidth="1"/>
    <col min="11" max="11" width="18.44140625" customWidth="1"/>
    <col min="12" max="12" width="22.109375" bestFit="1" customWidth="1"/>
    <col min="13" max="13" width="20.5546875" customWidth="1"/>
    <col min="14" max="14" width="24" bestFit="1" customWidth="1"/>
    <col min="15" max="15" width="20.88671875" bestFit="1" customWidth="1"/>
    <col min="17" max="17" width="17.6640625" bestFit="1" customWidth="1"/>
    <col min="20" max="20" width="30.5546875" bestFit="1" customWidth="1"/>
    <col min="21" max="21" width="12" bestFit="1" customWidth="1"/>
    <col min="22" max="22" width="10.88671875" bestFit="1" customWidth="1"/>
  </cols>
  <sheetData>
    <row r="1" spans="1:20" ht="16.8" thickBot="1" x14ac:dyDescent="0.35">
      <c r="I1" s="266"/>
      <c r="J1" s="266" t="s">
        <v>113</v>
      </c>
    </row>
    <row r="2" spans="1:20" ht="15" thickBot="1" x14ac:dyDescent="0.35">
      <c r="A2" s="59" t="s">
        <v>0</v>
      </c>
      <c r="B2" s="121" t="s">
        <v>1</v>
      </c>
      <c r="C2" s="126" t="s">
        <v>3</v>
      </c>
      <c r="D2" s="126" t="s">
        <v>4</v>
      </c>
      <c r="E2" s="56" t="s">
        <v>119</v>
      </c>
      <c r="F2" s="127" t="s">
        <v>30</v>
      </c>
      <c r="G2" s="128" t="s">
        <v>52</v>
      </c>
      <c r="H2" s="128" t="s">
        <v>53</v>
      </c>
      <c r="I2" s="128" t="s">
        <v>66</v>
      </c>
      <c r="J2" s="110" t="s">
        <v>117</v>
      </c>
      <c r="K2" s="43" t="s">
        <v>101</v>
      </c>
      <c r="M2" s="16" t="s">
        <v>34</v>
      </c>
      <c r="N2" s="2"/>
      <c r="O2" s="2"/>
      <c r="P2" s="2"/>
      <c r="S2" s="6"/>
      <c r="T2" s="7"/>
    </row>
    <row r="3" spans="1:20" ht="15" thickBot="1" x14ac:dyDescent="0.35">
      <c r="A3" s="311" t="s">
        <v>89</v>
      </c>
      <c r="B3" s="270">
        <v>1</v>
      </c>
      <c r="C3" s="144">
        <v>2.226</v>
      </c>
      <c r="D3" s="144">
        <v>2.1549999999999998</v>
      </c>
      <c r="E3" s="271">
        <f t="shared" ref="E3:E25" si="0">AVERAGE(C3:D3)</f>
        <v>2.1905000000000001</v>
      </c>
      <c r="F3" s="272">
        <f>(E3-$T$27)/($S$27)</f>
        <v>1301.5212452877929</v>
      </c>
      <c r="G3" s="272">
        <f>F3*$O$9</f>
        <v>6507.6062264389648</v>
      </c>
      <c r="H3" s="358">
        <f>G3*0.001</f>
        <v>6.5076062264389645</v>
      </c>
      <c r="I3" s="352">
        <f>H3/PROT!G5</f>
        <v>0.12488543404821352</v>
      </c>
      <c r="J3" s="231">
        <f>AVERAGE(I3:I11)</f>
        <v>0.11653057269423567</v>
      </c>
      <c r="K3" s="232">
        <f>STDEV(I3:I11)</f>
        <v>1.3855925022782807E-2</v>
      </c>
      <c r="L3" s="269"/>
      <c r="M3" s="228" t="s">
        <v>124</v>
      </c>
      <c r="N3" s="229"/>
      <c r="O3" s="229"/>
      <c r="P3" s="230"/>
      <c r="S3" s="6"/>
      <c r="T3" s="6"/>
    </row>
    <row r="4" spans="1:20" x14ac:dyDescent="0.3">
      <c r="A4" s="312"/>
      <c r="B4" s="270">
        <v>2</v>
      </c>
      <c r="C4" s="144">
        <v>1.5489999999999999</v>
      </c>
      <c r="D4" s="144">
        <v>1.524</v>
      </c>
      <c r="E4" s="271">
        <f t="shared" si="0"/>
        <v>1.5365</v>
      </c>
      <c r="F4" s="272">
        <f>(E4-$T$27)/($S$27)</f>
        <v>906.66715174257456</v>
      </c>
      <c r="G4" s="272">
        <f>F4*$O$9</f>
        <v>4533.335758712873</v>
      </c>
      <c r="H4" s="358">
        <f t="shared" ref="H4:H25" si="1">G4*0.001</f>
        <v>4.5333357587128731</v>
      </c>
      <c r="I4" s="352">
        <f>H4/PROT!G6</f>
        <v>0.10019889481543529</v>
      </c>
      <c r="J4" s="359"/>
      <c r="K4" s="233"/>
      <c r="L4" s="269"/>
      <c r="M4" s="64"/>
      <c r="N4" s="75" t="s">
        <v>35</v>
      </c>
      <c r="O4" s="65">
        <v>50</v>
      </c>
      <c r="P4" s="66" t="s">
        <v>32</v>
      </c>
      <c r="S4" s="6"/>
      <c r="T4" s="6"/>
    </row>
    <row r="5" spans="1:20" x14ac:dyDescent="0.3">
      <c r="A5" s="312"/>
      <c r="B5" s="270">
        <v>3</v>
      </c>
      <c r="C5" s="144">
        <v>1.9830000000000001</v>
      </c>
      <c r="D5" s="144">
        <v>1.86</v>
      </c>
      <c r="E5" s="271">
        <f t="shared" si="0"/>
        <v>1.9215</v>
      </c>
      <c r="F5" s="272">
        <f>(E5-$T$27)/($S$27)</f>
        <v>1139.1118398387657</v>
      </c>
      <c r="G5" s="272">
        <f>F5*$O$9</f>
        <v>5695.559199193829</v>
      </c>
      <c r="H5" s="358">
        <f t="shared" si="1"/>
        <v>5.6955591991938288</v>
      </c>
      <c r="I5" s="352">
        <f>H5/PROT!G7</f>
        <v>0.1327059749936999</v>
      </c>
      <c r="J5" s="359"/>
      <c r="K5" s="233"/>
      <c r="M5" s="67"/>
      <c r="N5" s="73" t="s">
        <v>36</v>
      </c>
      <c r="O5" s="68">
        <v>250</v>
      </c>
      <c r="P5" s="69" t="s">
        <v>32</v>
      </c>
      <c r="S5" s="6"/>
      <c r="T5" s="6"/>
    </row>
    <row r="6" spans="1:20" ht="15" thickBot="1" x14ac:dyDescent="0.35">
      <c r="A6" s="312"/>
      <c r="B6" s="270">
        <v>4</v>
      </c>
      <c r="C6" s="144">
        <v>1.7170000000000001</v>
      </c>
      <c r="D6" s="144">
        <v>1.7929999999999999</v>
      </c>
      <c r="E6" s="271">
        <f t="shared" si="0"/>
        <v>1.7549999999999999</v>
      </c>
      <c r="F6" s="272">
        <f>(E6-$T$27)/($S$27)</f>
        <v>1038.5870591426208</v>
      </c>
      <c r="G6" s="272">
        <f>F6*$O$9</f>
        <v>5192.9352957131041</v>
      </c>
      <c r="H6" s="358">
        <f t="shared" si="1"/>
        <v>5.1929352957131041</v>
      </c>
      <c r="I6" s="352">
        <f>H6/PROT!G8</f>
        <v>0.126789507064859</v>
      </c>
      <c r="J6" s="359"/>
      <c r="K6" s="233"/>
      <c r="M6" s="70"/>
      <c r="N6" s="74" t="s">
        <v>37</v>
      </c>
      <c r="O6" s="79">
        <f>O5/350</f>
        <v>0.7142857142857143</v>
      </c>
      <c r="P6" s="72" t="s">
        <v>33</v>
      </c>
      <c r="S6" s="6"/>
      <c r="T6" s="6"/>
    </row>
    <row r="7" spans="1:20" x14ac:dyDescent="0.3">
      <c r="A7" s="312"/>
      <c r="B7" s="270">
        <v>5</v>
      </c>
      <c r="C7" s="144">
        <v>1.7050000000000001</v>
      </c>
      <c r="D7" s="144">
        <v>1.6160000000000001</v>
      </c>
      <c r="E7" s="271">
        <f t="shared" si="0"/>
        <v>1.6605000000000001</v>
      </c>
      <c r="F7" s="272">
        <f>(E7-$T$27)/($S$27)</f>
        <v>981.53245388264656</v>
      </c>
      <c r="G7" s="272">
        <f>F7*$O$9</f>
        <v>4907.6622694132329</v>
      </c>
      <c r="H7" s="358">
        <f t="shared" si="1"/>
        <v>4.9076622694132332</v>
      </c>
      <c r="I7" s="352">
        <f>H7/PROT!G9</f>
        <v>0.10890971123852027</v>
      </c>
      <c r="J7" s="359"/>
      <c r="K7" s="233"/>
      <c r="S7" s="20"/>
      <c r="T7" s="6"/>
    </row>
    <row r="8" spans="1:20" ht="15" thickBot="1" x14ac:dyDescent="0.35">
      <c r="A8" s="312"/>
      <c r="B8" s="270">
        <v>6</v>
      </c>
      <c r="C8" s="144">
        <v>1.587</v>
      </c>
      <c r="D8" s="144">
        <v>1.649</v>
      </c>
      <c r="E8" s="271">
        <f t="shared" si="0"/>
        <v>1.6179999999999999</v>
      </c>
      <c r="F8" s="272">
        <f>(E8-$T$27)/($S$27)</f>
        <v>955.8729753265734</v>
      </c>
      <c r="G8" s="272">
        <f>F8*$O$9</f>
        <v>4779.364876632867</v>
      </c>
      <c r="H8" s="358">
        <f t="shared" si="1"/>
        <v>4.7793648766328669</v>
      </c>
      <c r="I8" s="352">
        <f>H8/PROT!G10</f>
        <v>0.10163834155011613</v>
      </c>
      <c r="J8" s="359"/>
      <c r="K8" s="233"/>
      <c r="M8" s="31" t="s">
        <v>116</v>
      </c>
      <c r="S8" s="6"/>
      <c r="T8" s="6"/>
    </row>
    <row r="9" spans="1:20" x14ac:dyDescent="0.3">
      <c r="A9" s="312"/>
      <c r="B9" s="270">
        <v>7</v>
      </c>
      <c r="C9" s="144">
        <v>2.2749999999999999</v>
      </c>
      <c r="D9" s="144">
        <v>2.2120000000000002</v>
      </c>
      <c r="E9" s="271">
        <f t="shared" si="0"/>
        <v>2.2435</v>
      </c>
      <c r="F9" s="272">
        <f>(E9-$T$27)/($S$27)</f>
        <v>1333.5201244283073</v>
      </c>
      <c r="G9" s="272">
        <f>F9*$O$9</f>
        <v>6667.6006221415364</v>
      </c>
      <c r="H9" s="358">
        <f t="shared" si="1"/>
        <v>6.6676006221415367</v>
      </c>
      <c r="I9" s="352">
        <f>H9/PROT!G11</f>
        <v>0.13662241459384206</v>
      </c>
      <c r="J9" s="359"/>
      <c r="K9" s="233"/>
      <c r="M9" s="8"/>
      <c r="N9" s="22" t="s">
        <v>9</v>
      </c>
      <c r="O9" s="33">
        <v>5</v>
      </c>
      <c r="P9" s="9" t="s">
        <v>10</v>
      </c>
      <c r="S9" s="6"/>
      <c r="T9" s="6"/>
    </row>
    <row r="10" spans="1:20" ht="14.55" customHeight="1" x14ac:dyDescent="0.3">
      <c r="A10" s="312"/>
      <c r="B10" s="270">
        <v>8</v>
      </c>
      <c r="C10" s="144">
        <v>1.7410000000000001</v>
      </c>
      <c r="D10" s="144">
        <v>1.615</v>
      </c>
      <c r="E10" s="271">
        <f t="shared" si="0"/>
        <v>1.6779999999999999</v>
      </c>
      <c r="F10" s="272">
        <f>(E10-$T$27)/($S$27)</f>
        <v>992.09812152338247</v>
      </c>
      <c r="G10" s="272">
        <f>F10*$O$9</f>
        <v>4960.4906076169127</v>
      </c>
      <c r="H10" s="358">
        <f t="shared" si="1"/>
        <v>4.9604906076169124</v>
      </c>
      <c r="I10" s="352">
        <f>H10/PROT!G12</f>
        <v>0.11170283949752043</v>
      </c>
      <c r="J10" s="359"/>
      <c r="K10" s="233"/>
      <c r="M10" s="11"/>
      <c r="N10" s="28" t="s">
        <v>11</v>
      </c>
      <c r="O10" s="34">
        <v>0.5</v>
      </c>
      <c r="P10" s="12" t="s">
        <v>12</v>
      </c>
      <c r="S10" s="6"/>
      <c r="T10" s="6"/>
    </row>
    <row r="11" spans="1:20" ht="15" thickBot="1" x14ac:dyDescent="0.35">
      <c r="A11" s="313"/>
      <c r="B11" s="78">
        <v>9</v>
      </c>
      <c r="C11" s="144">
        <v>1.6479999999999999</v>
      </c>
      <c r="D11" s="144">
        <v>1.647</v>
      </c>
      <c r="E11" s="119">
        <f t="shared" si="0"/>
        <v>1.6475</v>
      </c>
      <c r="F11" s="118">
        <f>(E11-$T$27)/($S$27)</f>
        <v>973.6836722066713</v>
      </c>
      <c r="G11" s="118">
        <f>F11*$O$9</f>
        <v>4868.4183610333566</v>
      </c>
      <c r="H11" s="182">
        <f t="shared" si="1"/>
        <v>4.8684183610333571</v>
      </c>
      <c r="I11" s="350">
        <f>H11/PROT!G13</f>
        <v>0.10532203644591437</v>
      </c>
      <c r="J11" s="359"/>
      <c r="K11" s="233"/>
      <c r="M11" s="11"/>
      <c r="N11" s="28" t="s">
        <v>13</v>
      </c>
      <c r="O11" s="35">
        <v>1</v>
      </c>
      <c r="P11" s="12" t="s">
        <v>14</v>
      </c>
      <c r="S11" s="6"/>
      <c r="T11" s="6"/>
    </row>
    <row r="12" spans="1:20" ht="15" thickBot="1" x14ac:dyDescent="0.35">
      <c r="A12" s="308" t="s">
        <v>90</v>
      </c>
      <c r="B12" s="270">
        <v>10</v>
      </c>
      <c r="C12" s="144">
        <v>1.502</v>
      </c>
      <c r="D12" s="144">
        <v>1.5189999999999999</v>
      </c>
      <c r="E12" s="271">
        <f t="shared" si="0"/>
        <v>1.5105</v>
      </c>
      <c r="F12" s="272">
        <f>(E12-$T$27)/($S$27)</f>
        <v>890.96958839062404</v>
      </c>
      <c r="G12" s="272">
        <f>F12*$O$9</f>
        <v>4454.8479419531204</v>
      </c>
      <c r="H12" s="358">
        <f t="shared" si="1"/>
        <v>4.4548479419531208</v>
      </c>
      <c r="I12" s="352">
        <f>H12/PROT!G14</f>
        <v>0.103360131340415</v>
      </c>
      <c r="J12" s="231">
        <f>AVERAGE(I12:I20)</f>
        <v>0.10131025258513518</v>
      </c>
      <c r="K12" s="232">
        <f t="shared" ref="K12" si="2">STDEV(I12:I20)</f>
        <v>1.2440993025498425E-2</v>
      </c>
      <c r="M12" s="13"/>
      <c r="N12" s="14" t="s">
        <v>15</v>
      </c>
      <c r="O12" s="55">
        <f>P23</f>
        <v>8.7499999999999994E-2</v>
      </c>
      <c r="P12" s="54" t="s">
        <v>24</v>
      </c>
      <c r="S12" s="6"/>
      <c r="T12" s="6"/>
    </row>
    <row r="13" spans="1:20" x14ac:dyDescent="0.3">
      <c r="A13" s="309"/>
      <c r="B13" s="270">
        <v>11</v>
      </c>
      <c r="C13" s="144">
        <v>1.0740000000000001</v>
      </c>
      <c r="D13" s="144">
        <v>1.083</v>
      </c>
      <c r="E13" s="271">
        <f t="shared" si="0"/>
        <v>1.0785</v>
      </c>
      <c r="F13" s="272">
        <f>(E13-$T$27)/($S$27)</f>
        <v>630.14853577359929</v>
      </c>
      <c r="G13" s="272">
        <f>F13*$O$9</f>
        <v>3150.7426788679963</v>
      </c>
      <c r="H13" s="358">
        <f t="shared" si="1"/>
        <v>3.1507426788679962</v>
      </c>
      <c r="I13" s="352"/>
      <c r="J13" s="359"/>
      <c r="K13" s="233"/>
      <c r="S13" s="6"/>
      <c r="T13" s="6"/>
    </row>
    <row r="14" spans="1:20" ht="15" thickBot="1" x14ac:dyDescent="0.35">
      <c r="A14" s="309"/>
      <c r="B14" s="270">
        <v>12</v>
      </c>
      <c r="C14" s="144">
        <v>1.276</v>
      </c>
      <c r="D14" s="144">
        <v>1.3859999999999999</v>
      </c>
      <c r="E14" s="271">
        <f t="shared" si="0"/>
        <v>1.331</v>
      </c>
      <c r="F14" s="272">
        <f>(E14-$T$27)/($S$27)</f>
        <v>782.59602601850372</v>
      </c>
      <c r="G14" s="272">
        <f>F14*$O$9</f>
        <v>3912.9801300925187</v>
      </c>
      <c r="H14" s="358">
        <f t="shared" si="1"/>
        <v>3.9129801300925187</v>
      </c>
      <c r="I14" s="352">
        <f>H14/PROT!G16</f>
        <v>9.0787866488093241E-2</v>
      </c>
      <c r="J14" s="359"/>
      <c r="K14" s="233"/>
      <c r="M14" s="16" t="s">
        <v>16</v>
      </c>
      <c r="N14" s="2"/>
      <c r="O14" s="2"/>
      <c r="S14" s="6"/>
      <c r="T14" s="6"/>
    </row>
    <row r="15" spans="1:20" ht="15" thickBot="1" x14ac:dyDescent="0.35">
      <c r="A15" s="309"/>
      <c r="B15" s="270">
        <v>13</v>
      </c>
      <c r="C15" s="144">
        <v>1.292</v>
      </c>
      <c r="D15" s="144">
        <v>1.3720000000000001</v>
      </c>
      <c r="E15" s="271">
        <f t="shared" si="0"/>
        <v>1.3320000000000001</v>
      </c>
      <c r="F15" s="272">
        <f>(E15-$T$27)/($S$27)</f>
        <v>783.19977845511733</v>
      </c>
      <c r="G15" s="272">
        <f>F15*$O$9</f>
        <v>3915.9988922755865</v>
      </c>
      <c r="H15" s="358">
        <f t="shared" si="1"/>
        <v>3.9159988922755864</v>
      </c>
      <c r="I15" s="352"/>
      <c r="J15" s="359"/>
      <c r="K15" s="233"/>
      <c r="M15" s="37" t="s">
        <v>17</v>
      </c>
      <c r="N15" s="38" t="s">
        <v>118</v>
      </c>
      <c r="O15" s="39" t="s">
        <v>19</v>
      </c>
      <c r="P15" s="161"/>
      <c r="S15" s="6"/>
      <c r="T15" s="6"/>
    </row>
    <row r="16" spans="1:20" ht="15" thickBot="1" x14ac:dyDescent="0.35">
      <c r="A16" s="309"/>
      <c r="B16" s="270">
        <v>14</v>
      </c>
      <c r="C16" s="144">
        <v>1.647</v>
      </c>
      <c r="D16" s="144">
        <v>1.756</v>
      </c>
      <c r="E16" s="271">
        <f t="shared" si="0"/>
        <v>1.7015</v>
      </c>
      <c r="F16" s="272">
        <f>(E16-$T$27)/($S$27)</f>
        <v>1006.2863037837994</v>
      </c>
      <c r="G16" s="272">
        <f>F16*$O$9</f>
        <v>5031.4315189189974</v>
      </c>
      <c r="H16" s="358">
        <f t="shared" si="1"/>
        <v>5.0314315189189971</v>
      </c>
      <c r="I16" s="352">
        <f>H16/PROT!G18</f>
        <v>0.10884861869147773</v>
      </c>
      <c r="J16" s="359"/>
      <c r="K16" s="233"/>
      <c r="M16" s="314" t="s">
        <v>88</v>
      </c>
      <c r="N16" s="346">
        <f>J21</f>
        <v>8.397078299533195E-2</v>
      </c>
      <c r="O16" s="347">
        <f>K21</f>
        <v>1.1706007814922738E-2</v>
      </c>
      <c r="S16" s="6"/>
      <c r="T16" s="6"/>
    </row>
    <row r="17" spans="1:21" x14ac:dyDescent="0.3">
      <c r="A17" s="309"/>
      <c r="B17" s="270">
        <v>15</v>
      </c>
      <c r="C17" s="144">
        <v>1.4450000000000001</v>
      </c>
      <c r="D17" s="144">
        <v>1.48</v>
      </c>
      <c r="E17" s="271">
        <f t="shared" si="0"/>
        <v>1.4624999999999999</v>
      </c>
      <c r="F17" s="272">
        <f>(E17-$T$27)/($S$27)</f>
        <v>861.98947143317685</v>
      </c>
      <c r="G17" s="272">
        <f>F17*$O$9</f>
        <v>4309.9473571658846</v>
      </c>
      <c r="H17" s="358">
        <f t="shared" si="1"/>
        <v>4.3099473571658846</v>
      </c>
      <c r="I17" s="352">
        <f>H17/PROT!G19</f>
        <v>8.582174296971308E-2</v>
      </c>
      <c r="J17" s="359"/>
      <c r="K17" s="233"/>
      <c r="M17" s="315" t="s">
        <v>89</v>
      </c>
      <c r="N17" s="346">
        <f>J3</f>
        <v>0.11653057269423567</v>
      </c>
      <c r="O17" s="347">
        <f>K3</f>
        <v>1.3855925022782807E-2</v>
      </c>
      <c r="S17" s="6"/>
      <c r="T17" s="6"/>
    </row>
    <row r="18" spans="1:21" ht="15" thickBot="1" x14ac:dyDescent="0.35">
      <c r="A18" s="309"/>
      <c r="B18" s="270">
        <v>16</v>
      </c>
      <c r="C18" s="144">
        <v>1.4850000000000001</v>
      </c>
      <c r="D18" s="144">
        <v>1.68</v>
      </c>
      <c r="E18" s="271">
        <f t="shared" si="0"/>
        <v>1.5825</v>
      </c>
      <c r="F18" s="272">
        <f>(E18-$T$27)/($S$27)</f>
        <v>934.43976382679489</v>
      </c>
      <c r="G18" s="272">
        <f>F18*$O$9</f>
        <v>4672.1988191339742</v>
      </c>
      <c r="H18" s="358">
        <f t="shared" si="1"/>
        <v>4.6721988191339747</v>
      </c>
      <c r="I18" s="352">
        <f>H18/PROT!G20</f>
        <v>0.1212820079117046</v>
      </c>
      <c r="J18" s="359"/>
      <c r="K18" s="233"/>
      <c r="M18" s="316" t="s">
        <v>90</v>
      </c>
      <c r="N18" s="348">
        <f>J12</f>
        <v>0.10131025258513518</v>
      </c>
      <c r="O18" s="349">
        <f>K12</f>
        <v>1.2440993025498425E-2</v>
      </c>
      <c r="S18" s="6"/>
      <c r="T18" s="6"/>
    </row>
    <row r="19" spans="1:21" x14ac:dyDescent="0.3">
      <c r="A19" s="309"/>
      <c r="B19" s="270">
        <v>17</v>
      </c>
      <c r="C19" s="144">
        <v>1.43</v>
      </c>
      <c r="D19" s="144">
        <v>1.492</v>
      </c>
      <c r="E19" s="271">
        <f t="shared" si="0"/>
        <v>1.4609999999999999</v>
      </c>
      <c r="F19" s="272">
        <f>(E19-$T$27)/($S$27)</f>
        <v>861.08384277825655</v>
      </c>
      <c r="G19" s="272">
        <f>F19*$O$9</f>
        <v>4305.4192138912831</v>
      </c>
      <c r="H19" s="358">
        <f t="shared" si="1"/>
        <v>4.305419213891283</v>
      </c>
      <c r="I19" s="352">
        <f>H19/PROT!G21</f>
        <v>9.2057155806319776E-2</v>
      </c>
      <c r="J19" s="359"/>
      <c r="K19" s="233"/>
    </row>
    <row r="20" spans="1:21" ht="15" thickBot="1" x14ac:dyDescent="0.35">
      <c r="A20" s="310"/>
      <c r="B20" s="270">
        <v>18</v>
      </c>
      <c r="C20" s="171">
        <v>1.4730000000000001</v>
      </c>
      <c r="D20" s="171">
        <v>1.5209999999999999</v>
      </c>
      <c r="E20" s="271">
        <f t="shared" si="0"/>
        <v>1.4969999999999999</v>
      </c>
      <c r="F20" s="272">
        <f>(E20-$T$27)/($S$27)</f>
        <v>882.81893049634198</v>
      </c>
      <c r="G20" s="272">
        <f>F20*$O$9</f>
        <v>4414.09465248171</v>
      </c>
      <c r="H20" s="358">
        <f t="shared" si="1"/>
        <v>4.41409465248171</v>
      </c>
      <c r="I20" s="350">
        <f>H20/PROT!G22</f>
        <v>0.10701424488822288</v>
      </c>
      <c r="J20" s="359"/>
      <c r="K20" s="233"/>
      <c r="M20" s="2"/>
      <c r="N20" s="2"/>
      <c r="O20" s="2"/>
      <c r="P20" s="2"/>
      <c r="Q20" s="6"/>
      <c r="R20" s="6"/>
    </row>
    <row r="21" spans="1:21" ht="15" thickBot="1" x14ac:dyDescent="0.35">
      <c r="A21" s="306" t="s">
        <v>88</v>
      </c>
      <c r="B21" s="174">
        <v>19</v>
      </c>
      <c r="C21" s="175">
        <v>0.95699999999999996</v>
      </c>
      <c r="D21" s="175">
        <v>0.95599999999999996</v>
      </c>
      <c r="E21" s="145">
        <f t="shared" si="0"/>
        <v>0.95649999999999991</v>
      </c>
      <c r="F21" s="176">
        <f>(E21-$T$27)/($S$27)</f>
        <v>556.49073850675416</v>
      </c>
      <c r="G21" s="176">
        <f>F21*$O$9</f>
        <v>2782.4536925337707</v>
      </c>
      <c r="H21" s="181">
        <f t="shared" si="1"/>
        <v>2.7824536925337706</v>
      </c>
      <c r="I21" s="352">
        <f>H21/PROT!G23</f>
        <v>8.0926469975653378E-2</v>
      </c>
      <c r="J21" s="231">
        <f>AVERAGE(I21:I25)</f>
        <v>8.397078299533195E-2</v>
      </c>
      <c r="K21" s="232">
        <f>STDEV(I21:I25)</f>
        <v>1.1706007814922738E-2</v>
      </c>
      <c r="M21" s="53" t="s">
        <v>29</v>
      </c>
      <c r="N21" s="2"/>
      <c r="O21" s="2"/>
      <c r="P21" s="2"/>
      <c r="Q21" s="6"/>
      <c r="R21" s="6"/>
    </row>
    <row r="22" spans="1:21" ht="15" thickBot="1" x14ac:dyDescent="0.35">
      <c r="A22" s="307"/>
      <c r="B22" s="270">
        <v>20</v>
      </c>
      <c r="C22" s="356">
        <v>1.3</v>
      </c>
      <c r="D22" s="356">
        <v>1.335</v>
      </c>
      <c r="E22" s="271">
        <f t="shared" si="0"/>
        <v>1.3174999999999999</v>
      </c>
      <c r="F22" s="272">
        <f>(E22-$T$27)/($S$27)</f>
        <v>774.44536812422166</v>
      </c>
      <c r="G22" s="272">
        <f>F22*$O$9</f>
        <v>3872.2268406211083</v>
      </c>
      <c r="H22" s="358">
        <f t="shared" si="1"/>
        <v>3.8722268406211082</v>
      </c>
      <c r="I22" s="352">
        <f>H22/PROT!G24</f>
        <v>8.6983317630695708E-2</v>
      </c>
      <c r="J22" s="359"/>
      <c r="K22" s="233"/>
      <c r="M22" s="59" t="s">
        <v>54</v>
      </c>
      <c r="N22" s="52" t="s">
        <v>55</v>
      </c>
      <c r="O22" s="52" t="s">
        <v>43</v>
      </c>
      <c r="P22" s="51" t="s">
        <v>44</v>
      </c>
      <c r="Q22" s="285"/>
      <c r="R22" s="6"/>
    </row>
    <row r="23" spans="1:21" x14ac:dyDescent="0.3">
      <c r="A23" s="307"/>
      <c r="B23" s="270">
        <v>21</v>
      </c>
      <c r="C23" s="356">
        <v>1.3640000000000001</v>
      </c>
      <c r="D23" s="356">
        <v>1.478</v>
      </c>
      <c r="E23" s="271">
        <f t="shared" si="0"/>
        <v>1.421</v>
      </c>
      <c r="F23" s="272">
        <f>(E23-$T$27)/($S$27)</f>
        <v>836.93374531371728</v>
      </c>
      <c r="G23" s="272">
        <f>F23*$O$9</f>
        <v>4184.6687265685869</v>
      </c>
      <c r="H23" s="358">
        <f t="shared" si="1"/>
        <v>4.1846687265685869</v>
      </c>
      <c r="I23" s="352">
        <f>H23/PROT!G25</f>
        <v>9.8000025556065837E-2</v>
      </c>
      <c r="J23" s="359"/>
      <c r="K23" s="233"/>
      <c r="M23" s="129">
        <v>0</v>
      </c>
      <c r="N23" s="144">
        <v>8.7999999999999995E-2</v>
      </c>
      <c r="O23" s="144">
        <v>8.6999999999999994E-2</v>
      </c>
      <c r="P23" s="130">
        <f>AVERAGE(N23:O23)</f>
        <v>8.7499999999999994E-2</v>
      </c>
      <c r="Q23" s="276"/>
      <c r="R23" s="6"/>
    </row>
    <row r="24" spans="1:21" x14ac:dyDescent="0.3">
      <c r="A24" s="307"/>
      <c r="B24" s="270">
        <v>22</v>
      </c>
      <c r="C24" s="356">
        <v>1.1419999999999999</v>
      </c>
      <c r="D24" s="356">
        <v>0.99299999999999999</v>
      </c>
      <c r="E24" s="271">
        <f>AVERAGE(C24:D24)</f>
        <v>1.0674999999999999</v>
      </c>
      <c r="F24" s="272">
        <f>(E24-$T$27)/($S$27)</f>
        <v>623.5072589708509</v>
      </c>
      <c r="G24" s="272">
        <f>F24*$O$9</f>
        <v>3117.5362948542543</v>
      </c>
      <c r="H24" s="358">
        <f t="shared" si="1"/>
        <v>3.1175362948542542</v>
      </c>
      <c r="I24" s="352">
        <f>H24/PROT!G26</f>
        <v>6.9973318818912902E-2</v>
      </c>
      <c r="J24" s="359"/>
      <c r="K24" s="233"/>
      <c r="M24" s="131">
        <v>5</v>
      </c>
      <c r="N24" s="144">
        <v>8.7999999999999995E-2</v>
      </c>
      <c r="O24" s="144">
        <v>8.5999999999999993E-2</v>
      </c>
      <c r="P24" s="116">
        <f>AVERAGE(N24:O24)</f>
        <v>8.6999999999999994E-2</v>
      </c>
      <c r="Q24" s="276"/>
      <c r="R24" s="6"/>
    </row>
    <row r="25" spans="1:21" ht="15" thickBot="1" x14ac:dyDescent="0.35">
      <c r="A25" s="318"/>
      <c r="B25" s="78">
        <v>23</v>
      </c>
      <c r="C25" s="357">
        <v>1.613</v>
      </c>
      <c r="D25" s="357">
        <v>1.6459999999999999</v>
      </c>
      <c r="E25" s="119">
        <f t="shared" si="0"/>
        <v>1.6294999999999999</v>
      </c>
      <c r="F25" s="118">
        <f>(E25-$T$27)/($S$27)</f>
        <v>962.81612834762859</v>
      </c>
      <c r="G25" s="118">
        <f>F25*$O$9</f>
        <v>4814.0806417381427</v>
      </c>
      <c r="H25" s="182">
        <f t="shared" si="1"/>
        <v>4.8140806417381432</v>
      </c>
      <c r="I25" s="351"/>
      <c r="J25" s="234"/>
      <c r="K25" s="235"/>
      <c r="M25" s="131">
        <v>25</v>
      </c>
      <c r="N25" s="144">
        <v>8.7999999999999995E-2</v>
      </c>
      <c r="O25" s="144">
        <v>8.6999999999999994E-2</v>
      </c>
      <c r="P25" s="116">
        <f>AVERAGE(N25:O25)</f>
        <v>8.7499999999999994E-2</v>
      </c>
      <c r="Q25" s="276"/>
      <c r="R25" s="21"/>
    </row>
    <row r="26" spans="1:21" ht="15" thickBot="1" x14ac:dyDescent="0.35">
      <c r="A26" s="170"/>
      <c r="B26" s="77"/>
      <c r="C26" s="172"/>
      <c r="D26" s="172"/>
      <c r="E26" s="10"/>
      <c r="I26" s="102"/>
      <c r="J26" s="173"/>
      <c r="K26" s="173"/>
      <c r="M26" s="131">
        <v>50</v>
      </c>
      <c r="N26" s="144">
        <v>0.107</v>
      </c>
      <c r="O26" s="144">
        <v>0.106</v>
      </c>
      <c r="P26" s="116">
        <f>AVERAGE(N26:O26)</f>
        <v>0.1065</v>
      </c>
      <c r="Q26" s="276"/>
      <c r="S26" s="50" t="s">
        <v>28</v>
      </c>
      <c r="T26" s="49" t="s">
        <v>27</v>
      </c>
      <c r="U26" s="48" t="s">
        <v>40</v>
      </c>
    </row>
    <row r="27" spans="1:21" ht="15" thickBot="1" x14ac:dyDescent="0.35">
      <c r="A27" s="170"/>
      <c r="B27" s="77"/>
      <c r="E27" s="10"/>
      <c r="I27" s="102"/>
      <c r="J27" s="173"/>
      <c r="K27" s="173"/>
      <c r="M27" s="131">
        <v>75</v>
      </c>
      <c r="N27" s="144">
        <v>0.14599999999999999</v>
      </c>
      <c r="O27" s="144">
        <v>0.14199999999999999</v>
      </c>
      <c r="P27" s="116">
        <f t="shared" ref="P27:P34" si="3">AVERAGE(N27:O27)</f>
        <v>0.14399999999999999</v>
      </c>
      <c r="Q27" s="276"/>
      <c r="S27" s="360">
        <f>SLOPE(P23:P33,M23:M33)</f>
        <v>1.6563080152671758E-3</v>
      </c>
      <c r="T27" s="361">
        <f>INTERCEPT(P23:P33,M23:M33)</f>
        <v>3.4779929389312902E-2</v>
      </c>
      <c r="U27" s="362">
        <f>RSQ(P23:P33,M23:M33)</f>
        <v>0.98615289903074133</v>
      </c>
    </row>
    <row r="28" spans="1:21" x14ac:dyDescent="0.3">
      <c r="A28" s="170"/>
      <c r="B28" s="77"/>
      <c r="E28" s="10"/>
      <c r="I28" s="102"/>
      <c r="J28" s="173"/>
      <c r="K28" s="173"/>
      <c r="M28" s="131">
        <v>100</v>
      </c>
      <c r="N28" s="144">
        <v>0.191</v>
      </c>
      <c r="O28" s="144">
        <v>0.192</v>
      </c>
      <c r="P28" s="116">
        <f>AVERAGE(N28:O28)</f>
        <v>0.1915</v>
      </c>
      <c r="Q28" s="276"/>
      <c r="R28" s="6"/>
    </row>
    <row r="29" spans="1:21" x14ac:dyDescent="0.3">
      <c r="A29" s="170"/>
      <c r="B29" s="77"/>
      <c r="E29" s="10"/>
      <c r="I29" s="102"/>
      <c r="J29" s="173"/>
      <c r="K29" s="173"/>
      <c r="M29" s="131">
        <v>200</v>
      </c>
      <c r="N29" s="144">
        <v>0.35299999999999998</v>
      </c>
      <c r="O29" s="144">
        <v>0.35199999999999998</v>
      </c>
      <c r="P29" s="116">
        <f t="shared" si="3"/>
        <v>0.35249999999999998</v>
      </c>
      <c r="Q29" s="276"/>
      <c r="R29" s="6"/>
    </row>
    <row r="30" spans="1:21" x14ac:dyDescent="0.3">
      <c r="A30" s="136"/>
      <c r="B30" s="77"/>
      <c r="E30" s="10"/>
      <c r="I30" s="102"/>
      <c r="J30" s="111"/>
      <c r="K30" s="111"/>
      <c r="M30" s="131">
        <v>300</v>
      </c>
      <c r="N30" s="144">
        <v>0.51100000000000001</v>
      </c>
      <c r="O30" s="144">
        <v>0.50700000000000001</v>
      </c>
      <c r="P30" s="116">
        <f t="shared" si="3"/>
        <v>0.50900000000000001</v>
      </c>
      <c r="Q30" s="276"/>
      <c r="R30" s="6"/>
    </row>
    <row r="31" spans="1:21" x14ac:dyDescent="0.3">
      <c r="A31" s="136"/>
      <c r="B31" s="77"/>
      <c r="E31" s="10"/>
      <c r="I31" s="102"/>
      <c r="J31" s="111"/>
      <c r="K31" s="111"/>
      <c r="M31" s="131">
        <v>400</v>
      </c>
      <c r="N31" s="144">
        <v>0.59399999999999997</v>
      </c>
      <c r="O31" s="144">
        <v>0.59399999999999997</v>
      </c>
      <c r="P31" s="116">
        <f t="shared" si="3"/>
        <v>0.59399999999999997</v>
      </c>
      <c r="Q31" s="276"/>
      <c r="R31" s="6"/>
    </row>
    <row r="32" spans="1:21" x14ac:dyDescent="0.3">
      <c r="A32" s="136"/>
      <c r="B32" s="77"/>
      <c r="E32" s="10"/>
      <c r="I32" s="102"/>
      <c r="J32" s="111"/>
      <c r="K32" s="111"/>
      <c r="M32" s="131">
        <v>500</v>
      </c>
      <c r="N32" s="144">
        <v>0.85499999999999998</v>
      </c>
      <c r="O32" s="144">
        <v>0.84699999999999998</v>
      </c>
      <c r="P32" s="116">
        <f t="shared" si="3"/>
        <v>0.85099999999999998</v>
      </c>
      <c r="Q32" s="276"/>
      <c r="R32" s="6"/>
    </row>
    <row r="33" spans="1:31" x14ac:dyDescent="0.3">
      <c r="A33" s="136"/>
      <c r="B33" s="77"/>
      <c r="E33" s="10"/>
      <c r="I33" s="102"/>
      <c r="J33" s="111"/>
      <c r="K33" s="111"/>
      <c r="M33" s="131">
        <v>750</v>
      </c>
      <c r="N33" s="144">
        <v>1.347</v>
      </c>
      <c r="O33" s="144">
        <v>1.3640000000000001</v>
      </c>
      <c r="P33" s="116">
        <f t="shared" si="3"/>
        <v>1.3555000000000001</v>
      </c>
      <c r="Q33" s="276"/>
      <c r="R33" s="6"/>
    </row>
    <row r="34" spans="1:31" ht="15" thickBot="1" x14ac:dyDescent="0.35">
      <c r="A34" s="136"/>
      <c r="B34" s="77"/>
      <c r="E34" s="10"/>
      <c r="I34" s="102"/>
      <c r="J34" s="111"/>
      <c r="K34" s="111"/>
      <c r="M34" s="132"/>
      <c r="N34" s="25"/>
      <c r="O34" s="26"/>
      <c r="P34" s="117"/>
      <c r="Q34" s="276"/>
      <c r="R34" s="6"/>
    </row>
    <row r="35" spans="1:31" x14ac:dyDescent="0.3">
      <c r="A35" s="136"/>
      <c r="B35" s="77"/>
      <c r="E35" s="10"/>
      <c r="I35" s="102"/>
      <c r="J35" s="111"/>
      <c r="K35" s="111"/>
      <c r="Q35" s="6"/>
      <c r="R35" s="6"/>
    </row>
    <row r="36" spans="1:31" x14ac:dyDescent="0.3">
      <c r="A36" s="136"/>
      <c r="B36" s="77"/>
      <c r="E36" s="10"/>
      <c r="I36" s="102"/>
      <c r="J36" s="111"/>
      <c r="K36" s="111"/>
      <c r="R36" s="6"/>
    </row>
    <row r="37" spans="1:31" x14ac:dyDescent="0.3">
      <c r="A37" s="136"/>
      <c r="B37" s="77"/>
      <c r="E37" s="10"/>
      <c r="I37" s="102"/>
      <c r="J37" s="111"/>
      <c r="K37" s="111"/>
    </row>
    <row r="38" spans="1:31" x14ac:dyDescent="0.3">
      <c r="A38" s="274"/>
      <c r="B38" s="275"/>
      <c r="C38" s="275"/>
      <c r="D38" s="275"/>
      <c r="E38" s="276"/>
      <c r="F38" s="277"/>
      <c r="G38" s="277"/>
      <c r="H38" s="277"/>
      <c r="I38" s="352"/>
      <c r="J38" s="278"/>
      <c r="K38" s="278"/>
      <c r="L38" s="259"/>
      <c r="M38" s="83"/>
      <c r="T38" s="133"/>
      <c r="U38" s="133"/>
      <c r="V38" s="133"/>
      <c r="W38" s="133"/>
      <c r="X38" s="133"/>
      <c r="Y38" s="133"/>
      <c r="Z38" s="133"/>
      <c r="AA38" s="133"/>
      <c r="AB38" s="133"/>
      <c r="AC38" s="133"/>
      <c r="AD38" s="133"/>
      <c r="AE38" s="133"/>
    </row>
    <row r="39" spans="1:31" x14ac:dyDescent="0.3">
      <c r="A39" s="259"/>
      <c r="B39" s="259"/>
      <c r="C39" s="275"/>
      <c r="D39" s="275"/>
      <c r="E39" s="275"/>
      <c r="F39" s="277"/>
      <c r="G39" s="277"/>
      <c r="H39" s="277"/>
      <c r="I39" s="259"/>
      <c r="J39" s="259"/>
      <c r="K39" s="259"/>
      <c r="L39" s="259"/>
    </row>
    <row r="40" spans="1:31" x14ac:dyDescent="0.3">
      <c r="A40" s="259"/>
      <c r="B40" s="259"/>
      <c r="C40" s="275"/>
      <c r="D40" s="275"/>
      <c r="E40" s="275"/>
      <c r="F40" s="277"/>
      <c r="G40" s="277"/>
      <c r="H40" s="277"/>
      <c r="I40" s="259"/>
      <c r="J40" s="259"/>
      <c r="K40" s="259"/>
      <c r="L40" s="259"/>
      <c r="N40" s="6"/>
      <c r="W40" t="s">
        <v>93</v>
      </c>
    </row>
    <row r="41" spans="1:31" x14ac:dyDescent="0.3">
      <c r="A41" s="259"/>
      <c r="B41" s="259"/>
      <c r="C41" s="275"/>
      <c r="D41" s="275"/>
      <c r="E41" s="275"/>
      <c r="F41" s="277"/>
      <c r="G41" s="277"/>
      <c r="H41" s="277"/>
      <c r="I41" s="259"/>
      <c r="J41" s="259"/>
      <c r="K41" s="259"/>
      <c r="L41" s="259"/>
      <c r="N41" s="6"/>
      <c r="W41" t="s">
        <v>56</v>
      </c>
    </row>
    <row r="42" spans="1:31" x14ac:dyDescent="0.3">
      <c r="A42" s="259"/>
      <c r="B42" s="259"/>
      <c r="C42" s="275"/>
      <c r="D42" s="275"/>
      <c r="E42" s="275"/>
      <c r="F42" s="277"/>
      <c r="G42" s="277"/>
      <c r="H42" s="277"/>
      <c r="I42" s="259"/>
      <c r="J42" s="259"/>
      <c r="K42" s="259"/>
      <c r="L42" s="259"/>
      <c r="N42" s="6"/>
      <c r="W42" t="s">
        <v>57</v>
      </c>
    </row>
    <row r="43" spans="1:31" x14ac:dyDescent="0.3">
      <c r="A43" s="259"/>
      <c r="B43" s="259"/>
      <c r="C43" s="275"/>
      <c r="D43" s="275"/>
      <c r="E43" s="275"/>
      <c r="F43" s="277"/>
      <c r="G43" s="277"/>
      <c r="H43" s="277"/>
      <c r="I43" s="259"/>
      <c r="J43" s="259"/>
      <c r="K43" s="259"/>
      <c r="L43" s="259"/>
      <c r="M43" s="6"/>
      <c r="N43" s="6"/>
      <c r="W43" t="s">
        <v>102</v>
      </c>
    </row>
    <row r="44" spans="1:31" x14ac:dyDescent="0.3">
      <c r="A44" s="259"/>
      <c r="B44" s="259"/>
      <c r="C44" s="275"/>
      <c r="D44" s="275"/>
      <c r="E44" s="275"/>
      <c r="F44" s="277"/>
      <c r="G44" s="277"/>
      <c r="H44" s="277"/>
      <c r="I44" s="259"/>
      <c r="J44" s="259"/>
      <c r="K44" s="259"/>
      <c r="L44" s="259"/>
      <c r="M44" s="6"/>
      <c r="N44" s="6"/>
    </row>
    <row r="45" spans="1:31" x14ac:dyDescent="0.3">
      <c r="A45" s="259"/>
      <c r="B45" s="259"/>
      <c r="C45" s="275"/>
      <c r="D45" s="275"/>
      <c r="E45" s="275"/>
      <c r="F45" s="277"/>
      <c r="G45" s="277"/>
      <c r="H45" s="277"/>
      <c r="I45" s="259"/>
      <c r="J45" s="259"/>
      <c r="K45" s="259"/>
      <c r="L45" s="259"/>
      <c r="M45" s="6"/>
      <c r="N45" s="6"/>
    </row>
    <row r="46" spans="1:31" x14ac:dyDescent="0.3">
      <c r="A46" s="259"/>
      <c r="B46" s="259"/>
      <c r="C46" s="275"/>
      <c r="D46" s="275"/>
      <c r="E46" s="275"/>
      <c r="F46" s="277"/>
      <c r="G46" s="277"/>
      <c r="H46" s="277"/>
      <c r="I46" s="259"/>
      <c r="J46" s="259"/>
      <c r="K46" s="259"/>
      <c r="L46" s="259"/>
      <c r="N46" s="6"/>
    </row>
    <row r="47" spans="1:31" x14ac:dyDescent="0.3">
      <c r="A47" s="259"/>
      <c r="B47" s="279"/>
      <c r="C47" s="279"/>
      <c r="D47" s="279"/>
      <c r="E47" s="279"/>
      <c r="F47" s="279"/>
      <c r="G47" s="279"/>
      <c r="H47" s="279"/>
      <c r="I47" s="279"/>
      <c r="J47" s="279"/>
      <c r="K47" s="259"/>
      <c r="L47" s="259"/>
      <c r="N47" s="6"/>
    </row>
    <row r="48" spans="1:31" x14ac:dyDescent="0.3">
      <c r="A48" s="259"/>
      <c r="B48" s="279"/>
      <c r="C48" s="279"/>
      <c r="D48" s="279"/>
      <c r="E48" s="279"/>
      <c r="F48" s="279"/>
      <c r="G48" s="279"/>
      <c r="H48" s="279"/>
      <c r="I48" s="279"/>
      <c r="J48" s="279"/>
      <c r="K48" s="259"/>
      <c r="L48" s="259"/>
    </row>
    <row r="49" spans="1:22" x14ac:dyDescent="0.3">
      <c r="A49" s="259"/>
      <c r="B49" s="279"/>
      <c r="C49" s="279"/>
      <c r="D49" s="279"/>
      <c r="E49" s="279"/>
      <c r="F49" s="279"/>
      <c r="G49" s="279"/>
      <c r="H49" s="279"/>
      <c r="I49" s="279"/>
      <c r="J49" s="279"/>
      <c r="K49" s="259"/>
      <c r="L49" s="259"/>
    </row>
    <row r="50" spans="1:22" x14ac:dyDescent="0.3">
      <c r="A50" s="259"/>
      <c r="B50" s="279"/>
      <c r="C50" s="279"/>
      <c r="D50" s="279"/>
      <c r="E50" s="279"/>
      <c r="F50" s="279"/>
      <c r="G50" s="279"/>
      <c r="H50" s="279"/>
      <c r="I50" s="279"/>
      <c r="J50" s="279"/>
      <c r="K50" s="259"/>
      <c r="L50" s="259"/>
    </row>
    <row r="51" spans="1:22" x14ac:dyDescent="0.3">
      <c r="A51" s="259"/>
      <c r="B51" s="279"/>
      <c r="C51" s="279"/>
      <c r="D51" s="279"/>
      <c r="E51" s="279"/>
      <c r="F51" s="279"/>
      <c r="G51" s="279"/>
      <c r="H51" s="279"/>
      <c r="I51" s="279"/>
      <c r="J51" s="279"/>
      <c r="K51" s="259"/>
      <c r="L51" s="259"/>
      <c r="T51" s="220" t="s">
        <v>106</v>
      </c>
      <c r="U51" s="220" t="s">
        <v>107</v>
      </c>
      <c r="V51" s="220" t="s">
        <v>108</v>
      </c>
    </row>
    <row r="52" spans="1:22" x14ac:dyDescent="0.3">
      <c r="A52" s="259"/>
      <c r="B52" s="279"/>
      <c r="C52" s="279"/>
      <c r="D52" s="279"/>
      <c r="E52" s="279"/>
      <c r="F52" s="279"/>
      <c r="G52" s="279"/>
      <c r="H52" s="279"/>
      <c r="I52" s="279"/>
      <c r="J52" s="279"/>
      <c r="K52" s="259"/>
      <c r="L52" s="259"/>
      <c r="T52" t="s">
        <v>103</v>
      </c>
      <c r="U52" s="222">
        <v>1.776366197E-3</v>
      </c>
      <c r="V52" s="223">
        <f>(N17-N16)/N16</f>
        <v>0.38775141230627519</v>
      </c>
    </row>
    <row r="53" spans="1:22" x14ac:dyDescent="0.3">
      <c r="A53" s="259"/>
      <c r="B53" s="259"/>
      <c r="C53" s="275"/>
      <c r="D53" s="275"/>
      <c r="E53" s="275"/>
      <c r="F53" s="277"/>
      <c r="G53" s="277"/>
      <c r="H53" s="277"/>
      <c r="I53" s="259"/>
      <c r="J53" s="259"/>
      <c r="K53" s="259"/>
      <c r="L53" s="259"/>
      <c r="T53" t="s">
        <v>104</v>
      </c>
      <c r="U53" s="221">
        <v>0.11393969029999999</v>
      </c>
    </row>
    <row r="54" spans="1:22" x14ac:dyDescent="0.3">
      <c r="A54" s="259"/>
      <c r="B54" s="259"/>
      <c r="C54" s="275"/>
      <c r="D54" s="275"/>
      <c r="E54" s="275"/>
      <c r="F54" s="277"/>
      <c r="G54" s="277"/>
      <c r="H54" s="277"/>
      <c r="I54" s="259"/>
      <c r="J54" s="259"/>
      <c r="K54" s="259"/>
      <c r="L54" s="259"/>
      <c r="N54" s="2"/>
      <c r="T54" t="s">
        <v>105</v>
      </c>
      <c r="U54" s="221">
        <v>7.9672534439999998E-2</v>
      </c>
    </row>
    <row r="55" spans="1:22" x14ac:dyDescent="0.3">
      <c r="A55" s="259"/>
      <c r="B55" s="259"/>
      <c r="C55" s="275"/>
      <c r="D55" s="275"/>
      <c r="E55" s="275"/>
      <c r="F55" s="277"/>
      <c r="G55" s="277"/>
      <c r="H55" s="277"/>
      <c r="I55" s="259"/>
      <c r="J55" s="259"/>
      <c r="K55" s="259"/>
      <c r="L55" s="259"/>
      <c r="N55" s="2"/>
    </row>
    <row r="56" spans="1:22" x14ac:dyDescent="0.3">
      <c r="A56" s="259"/>
      <c r="B56" s="259"/>
      <c r="C56" s="275"/>
      <c r="D56" s="275"/>
      <c r="E56" s="275"/>
      <c r="F56" s="277"/>
      <c r="G56" s="277"/>
      <c r="H56" s="277"/>
      <c r="I56" s="259"/>
      <c r="J56" s="259"/>
      <c r="K56" s="259"/>
      <c r="L56" s="259"/>
      <c r="N56" s="2"/>
    </row>
    <row r="57" spans="1:22" x14ac:dyDescent="0.3">
      <c r="A57" s="259"/>
      <c r="B57" s="353"/>
      <c r="C57" s="354"/>
      <c r="D57" s="354"/>
      <c r="E57" s="354"/>
      <c r="F57" s="354"/>
      <c r="G57" s="354"/>
      <c r="H57" s="354"/>
      <c r="I57" s="354"/>
      <c r="J57" s="354"/>
      <c r="K57" s="354"/>
      <c r="L57" s="280"/>
      <c r="N57" s="2"/>
    </row>
    <row r="58" spans="1:22" x14ac:dyDescent="0.3">
      <c r="A58" s="259"/>
      <c r="B58" s="354"/>
      <c r="C58" s="279"/>
      <c r="D58" s="279"/>
      <c r="E58" s="279"/>
      <c r="F58" s="279"/>
      <c r="G58" s="279"/>
      <c r="H58" s="279"/>
      <c r="I58" s="279"/>
      <c r="J58" s="279"/>
      <c r="K58" s="279"/>
      <c r="L58" s="355"/>
      <c r="N58" s="2"/>
    </row>
    <row r="59" spans="1:22" x14ac:dyDescent="0.3">
      <c r="A59" s="259"/>
      <c r="B59" s="354"/>
      <c r="C59" s="279"/>
      <c r="D59" s="279"/>
      <c r="E59" s="279"/>
      <c r="F59" s="279"/>
      <c r="G59" s="279"/>
      <c r="H59" s="279"/>
      <c r="I59" s="279"/>
      <c r="J59" s="279"/>
      <c r="K59" s="279"/>
      <c r="L59" s="355"/>
      <c r="N59" s="2"/>
    </row>
    <row r="60" spans="1:22" x14ac:dyDescent="0.3">
      <c r="A60" s="259"/>
      <c r="B60" s="354"/>
      <c r="C60" s="279"/>
      <c r="D60" s="279"/>
      <c r="E60" s="279"/>
      <c r="F60" s="279"/>
      <c r="G60" s="279"/>
      <c r="H60" s="279"/>
      <c r="I60" s="279"/>
      <c r="J60" s="279"/>
      <c r="K60" s="279"/>
      <c r="L60" s="355"/>
      <c r="N60" s="2"/>
    </row>
    <row r="61" spans="1:22" x14ac:dyDescent="0.3">
      <c r="A61" s="259"/>
      <c r="B61" s="354"/>
      <c r="C61" s="279"/>
      <c r="D61" s="279"/>
      <c r="E61" s="279"/>
      <c r="F61" s="279"/>
      <c r="G61" s="279"/>
      <c r="H61" s="279"/>
      <c r="I61" s="279"/>
      <c r="J61" s="279"/>
      <c r="K61" s="279"/>
      <c r="L61" s="355"/>
      <c r="M61" s="6"/>
      <c r="N61" s="2"/>
    </row>
    <row r="62" spans="1:22" x14ac:dyDescent="0.3">
      <c r="A62" s="259"/>
      <c r="B62" s="354"/>
      <c r="C62" s="279"/>
      <c r="D62" s="279"/>
      <c r="E62" s="279"/>
      <c r="F62" s="279"/>
      <c r="G62" s="279"/>
      <c r="H62" s="279"/>
      <c r="I62" s="279"/>
      <c r="J62" s="279"/>
      <c r="K62" s="279"/>
      <c r="L62" s="355"/>
      <c r="N62" s="2"/>
    </row>
    <row r="63" spans="1:22" x14ac:dyDescent="0.3">
      <c r="A63" s="259"/>
      <c r="B63" s="354"/>
      <c r="C63" s="279"/>
      <c r="D63" s="279"/>
      <c r="E63" s="279"/>
      <c r="F63" s="279"/>
      <c r="G63" s="279"/>
      <c r="H63" s="279"/>
      <c r="I63" s="279"/>
      <c r="J63" s="279"/>
      <c r="K63" s="279"/>
      <c r="L63" s="279"/>
      <c r="N63" s="2"/>
    </row>
    <row r="64" spans="1:22" x14ac:dyDescent="0.3">
      <c r="A64" s="259"/>
      <c r="B64" s="354"/>
      <c r="C64" s="279"/>
      <c r="D64" s="279"/>
      <c r="E64" s="279"/>
      <c r="F64" s="279"/>
      <c r="G64" s="279"/>
      <c r="H64" s="279"/>
      <c r="I64" s="279"/>
      <c r="J64" s="279"/>
      <c r="K64" s="279"/>
      <c r="L64" s="355"/>
      <c r="N64" s="2"/>
    </row>
    <row r="65" spans="1:14" x14ac:dyDescent="0.3">
      <c r="A65" s="259"/>
      <c r="B65" s="354"/>
      <c r="C65" s="279"/>
      <c r="D65" s="279"/>
      <c r="E65" s="279"/>
      <c r="F65" s="279"/>
      <c r="G65" s="279"/>
      <c r="H65" s="279"/>
      <c r="I65" s="279"/>
      <c r="J65" s="279"/>
      <c r="K65" s="279"/>
      <c r="L65" s="355"/>
      <c r="N65" s="2"/>
    </row>
  </sheetData>
  <mergeCells count="10">
    <mergeCell ref="J12:J20"/>
    <mergeCell ref="K12:K20"/>
    <mergeCell ref="J21:J25"/>
    <mergeCell ref="K21:K25"/>
    <mergeCell ref="M3:P3"/>
    <mergeCell ref="A3:A11"/>
    <mergeCell ref="J3:J11"/>
    <mergeCell ref="K3:K11"/>
    <mergeCell ref="A12:A20"/>
    <mergeCell ref="A21:A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9DC54-5A9F-4690-8FCE-2707047F98B8}">
  <dimension ref="A1:C28"/>
  <sheetViews>
    <sheetView workbookViewId="0">
      <selection activeCell="F8" sqref="F8"/>
    </sheetView>
  </sheetViews>
  <sheetFormatPr defaultRowHeight="14.4" x14ac:dyDescent="0.3"/>
  <cols>
    <col min="1" max="1" width="14.77734375" bestFit="1" customWidth="1"/>
    <col min="2" max="2" width="8.88671875" style="160"/>
    <col min="3" max="3" width="9.44140625" bestFit="1" customWidth="1"/>
  </cols>
  <sheetData>
    <row r="1" spans="1:3" x14ac:dyDescent="0.3">
      <c r="A1" s="194" t="s">
        <v>91</v>
      </c>
      <c r="B1" s="218" t="s">
        <v>84</v>
      </c>
    </row>
    <row r="2" spans="1:3" x14ac:dyDescent="0.3">
      <c r="A2" t="s">
        <v>88</v>
      </c>
      <c r="B2" s="160">
        <v>8.0926469975653378E-2</v>
      </c>
      <c r="C2" s="160"/>
    </row>
    <row r="3" spans="1:3" x14ac:dyDescent="0.3">
      <c r="A3" t="s">
        <v>88</v>
      </c>
      <c r="B3" s="160">
        <v>8.6983317630695708E-2</v>
      </c>
      <c r="C3" s="160"/>
    </row>
    <row r="4" spans="1:3" x14ac:dyDescent="0.3">
      <c r="A4" t="s">
        <v>88</v>
      </c>
      <c r="B4" s="160">
        <v>9.8000025556065837E-2</v>
      </c>
      <c r="C4" s="160"/>
    </row>
    <row r="5" spans="1:3" x14ac:dyDescent="0.3">
      <c r="A5" t="s">
        <v>88</v>
      </c>
      <c r="B5" s="160">
        <v>6.9973318818912902E-2</v>
      </c>
      <c r="C5" s="160"/>
    </row>
    <row r="6" spans="1:3" x14ac:dyDescent="0.3">
      <c r="A6" t="s">
        <v>89</v>
      </c>
      <c r="B6" s="160">
        <v>0.12488543404821352</v>
      </c>
      <c r="C6" s="160"/>
    </row>
    <row r="7" spans="1:3" x14ac:dyDescent="0.3">
      <c r="A7" t="s">
        <v>89</v>
      </c>
      <c r="B7" s="160">
        <v>0.10019889481543529</v>
      </c>
      <c r="C7" s="160"/>
    </row>
    <row r="8" spans="1:3" x14ac:dyDescent="0.3">
      <c r="A8" t="s">
        <v>89</v>
      </c>
      <c r="B8" s="160">
        <v>0.1327059749936999</v>
      </c>
      <c r="C8" s="160"/>
    </row>
    <row r="9" spans="1:3" x14ac:dyDescent="0.3">
      <c r="A9" t="s">
        <v>89</v>
      </c>
      <c r="B9" s="160">
        <v>0.126789507064859</v>
      </c>
      <c r="C9" s="160"/>
    </row>
    <row r="10" spans="1:3" x14ac:dyDescent="0.3">
      <c r="A10" t="s">
        <v>89</v>
      </c>
      <c r="B10" s="160">
        <v>0.10890971123852027</v>
      </c>
      <c r="C10" s="160"/>
    </row>
    <row r="11" spans="1:3" x14ac:dyDescent="0.3">
      <c r="A11" t="s">
        <v>89</v>
      </c>
      <c r="B11" s="160">
        <v>0.10163834155011613</v>
      </c>
      <c r="C11" s="160"/>
    </row>
    <row r="12" spans="1:3" x14ac:dyDescent="0.3">
      <c r="A12" t="s">
        <v>89</v>
      </c>
      <c r="B12" s="160">
        <v>0.13662241459384206</v>
      </c>
      <c r="C12" s="160"/>
    </row>
    <row r="13" spans="1:3" x14ac:dyDescent="0.3">
      <c r="A13" t="s">
        <v>89</v>
      </c>
      <c r="B13" s="160">
        <v>0.11170283949752043</v>
      </c>
      <c r="C13" s="160"/>
    </row>
    <row r="14" spans="1:3" x14ac:dyDescent="0.3">
      <c r="A14" t="s">
        <v>89</v>
      </c>
      <c r="B14" s="160">
        <v>0.10532203644591437</v>
      </c>
      <c r="C14" s="160"/>
    </row>
    <row r="15" spans="1:3" x14ac:dyDescent="0.3">
      <c r="A15" t="s">
        <v>90</v>
      </c>
      <c r="B15" s="160">
        <v>0.103360131340415</v>
      </c>
      <c r="C15" s="160"/>
    </row>
    <row r="16" spans="1:3" x14ac:dyDescent="0.3">
      <c r="A16" t="s">
        <v>90</v>
      </c>
      <c r="B16" s="160">
        <v>9.0787866488093241E-2</v>
      </c>
      <c r="C16" s="160"/>
    </row>
    <row r="17" spans="1:3" x14ac:dyDescent="0.3">
      <c r="A17" t="s">
        <v>90</v>
      </c>
      <c r="B17" s="160">
        <v>0.10884861869147773</v>
      </c>
      <c r="C17" s="160"/>
    </row>
    <row r="18" spans="1:3" x14ac:dyDescent="0.3">
      <c r="A18" t="s">
        <v>90</v>
      </c>
      <c r="B18" s="160">
        <v>8.582174296971308E-2</v>
      </c>
      <c r="C18" s="160"/>
    </row>
    <row r="19" spans="1:3" x14ac:dyDescent="0.3">
      <c r="A19" t="s">
        <v>90</v>
      </c>
      <c r="B19" s="160">
        <v>0.1212820079117046</v>
      </c>
      <c r="C19" s="160"/>
    </row>
    <row r="20" spans="1:3" x14ac:dyDescent="0.3">
      <c r="A20" t="s">
        <v>90</v>
      </c>
      <c r="B20" s="160">
        <v>9.2057155806319776E-2</v>
      </c>
      <c r="C20" s="160"/>
    </row>
    <row r="21" spans="1:3" x14ac:dyDescent="0.3">
      <c r="A21" t="s">
        <v>90</v>
      </c>
      <c r="B21" s="160">
        <v>0.10701424488822288</v>
      </c>
      <c r="C21" s="160"/>
    </row>
    <row r="28" spans="1:3" x14ac:dyDescent="0.3">
      <c r="C28" s="160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58A8-57CB-4722-B799-61E1FDD4F3C3}">
  <sheetPr>
    <tabColor theme="8"/>
  </sheetPr>
  <dimension ref="A1:Z47"/>
  <sheetViews>
    <sheetView zoomScale="80" zoomScaleNormal="80" workbookViewId="0">
      <selection activeCell="J3" sqref="J3:J25"/>
    </sheetView>
  </sheetViews>
  <sheetFormatPr defaultColWidth="8.77734375" defaultRowHeight="14.4" x14ac:dyDescent="0.3"/>
  <cols>
    <col min="1" max="1" width="16.109375" bestFit="1" customWidth="1"/>
    <col min="3" max="4" width="8.77734375" style="77"/>
    <col min="5" max="5" width="7.77734375" style="10" customWidth="1"/>
    <col min="6" max="6" width="11.44140625" style="10" customWidth="1"/>
    <col min="7" max="7" width="15.77734375" style="77" customWidth="1"/>
    <col min="8" max="8" width="20.109375" style="77" customWidth="1"/>
    <col min="9" max="9" width="9" style="77" customWidth="1"/>
    <col min="10" max="10" width="19.109375" bestFit="1" customWidth="1"/>
    <col min="11" max="11" width="19.77734375" customWidth="1"/>
    <col min="12" max="12" width="17.33203125" customWidth="1"/>
    <col min="13" max="13" width="22.109375" bestFit="1" customWidth="1"/>
    <col min="14" max="14" width="20.77734375" customWidth="1"/>
    <col min="15" max="15" width="24" bestFit="1" customWidth="1"/>
    <col min="16" max="16" width="15.109375" bestFit="1" customWidth="1"/>
    <col min="17" max="17" width="7.33203125" bestFit="1" customWidth="1"/>
    <col min="24" max="24" width="30.5546875" bestFit="1" customWidth="1"/>
    <col min="25" max="25" width="12" bestFit="1" customWidth="1"/>
    <col min="26" max="26" width="10.88671875" bestFit="1" customWidth="1"/>
  </cols>
  <sheetData>
    <row r="1" spans="1:21" ht="15" thickBot="1" x14ac:dyDescent="0.35">
      <c r="J1" s="266"/>
      <c r="K1" s="363" t="s">
        <v>114</v>
      </c>
      <c r="L1" s="363"/>
    </row>
    <row r="2" spans="1:21" ht="15" thickBot="1" x14ac:dyDescent="0.35">
      <c r="A2" s="138" t="s">
        <v>0</v>
      </c>
      <c r="B2" s="121" t="s">
        <v>1</v>
      </c>
      <c r="C2" s="56" t="s">
        <v>3</v>
      </c>
      <c r="D2" s="58" t="s">
        <v>4</v>
      </c>
      <c r="E2" s="58" t="s">
        <v>5</v>
      </c>
      <c r="F2" s="57" t="s">
        <v>6</v>
      </c>
      <c r="G2" s="123" t="s">
        <v>23</v>
      </c>
      <c r="H2" s="56" t="s">
        <v>39</v>
      </c>
      <c r="I2" s="56" t="s">
        <v>25</v>
      </c>
      <c r="J2" s="159" t="s">
        <v>66</v>
      </c>
      <c r="K2" s="56" t="s">
        <v>7</v>
      </c>
      <c r="L2" s="58" t="s">
        <v>8</v>
      </c>
      <c r="N2" s="16" t="s">
        <v>34</v>
      </c>
      <c r="O2" s="2"/>
      <c r="P2" s="2"/>
      <c r="Q2" s="2"/>
      <c r="R2" s="6"/>
      <c r="S2" s="6"/>
      <c r="T2" s="6"/>
      <c r="U2" s="7"/>
    </row>
    <row r="3" spans="1:21" ht="15" thickBot="1" x14ac:dyDescent="0.35">
      <c r="A3" s="311" t="s">
        <v>89</v>
      </c>
      <c r="B3" s="139">
        <v>1</v>
      </c>
      <c r="C3" s="124">
        <v>2.4089999999999998</v>
      </c>
      <c r="D3" s="124">
        <v>2.355</v>
      </c>
      <c r="E3" s="145">
        <f t="shared" ref="E3:E25" si="0">AVERAGE(C3:D3)</f>
        <v>2.3819999999999997</v>
      </c>
      <c r="F3" s="145">
        <f>E3-$P$12</f>
        <v>0.1859999999999995</v>
      </c>
      <c r="G3" s="147">
        <f>(F3/($P$13*$P$6))*($P$5/$P$4)</f>
        <v>2.4318630087860796E-5</v>
      </c>
      <c r="H3" s="366">
        <f>G3*10^6</f>
        <v>24.318630087860797</v>
      </c>
      <c r="I3" s="183">
        <f>H3*$P$9</f>
        <v>1215.9315043930399</v>
      </c>
      <c r="J3" s="333">
        <f>I3/PROT!G5</f>
        <v>23.334560883859321</v>
      </c>
      <c r="K3" s="236">
        <f>AVERAGE(J3:J11)</f>
        <v>28.355244308006114</v>
      </c>
      <c r="L3" s="239">
        <f>STDEV(J3:J11)</f>
        <v>7.1853224760034857</v>
      </c>
      <c r="M3" s="269"/>
      <c r="N3" s="228" t="s">
        <v>48</v>
      </c>
      <c r="O3" s="229"/>
      <c r="P3" s="229"/>
      <c r="Q3" s="230"/>
      <c r="R3" s="6"/>
      <c r="S3" s="6"/>
      <c r="T3" s="6"/>
      <c r="U3" s="6"/>
    </row>
    <row r="4" spans="1:21" x14ac:dyDescent="0.3">
      <c r="A4" s="312"/>
      <c r="B4">
        <v>2</v>
      </c>
      <c r="C4" s="122">
        <v>2.5550000000000002</v>
      </c>
      <c r="D4" s="122">
        <v>2.5030000000000001</v>
      </c>
      <c r="E4" s="10">
        <f t="shared" si="0"/>
        <v>2.5289999999999999</v>
      </c>
      <c r="F4" s="10">
        <f>E4-$P$12</f>
        <v>0.33299999999999974</v>
      </c>
      <c r="G4" s="112">
        <f>(F4/($P$13*$P$6))*($P$5/$P$4)</f>
        <v>4.3538192576654082E-5</v>
      </c>
      <c r="H4" s="367">
        <f t="shared" ref="H4:H25" si="1">G4*10^6</f>
        <v>43.538192576654083</v>
      </c>
      <c r="I4" s="184">
        <f>H4*$P$9</f>
        <v>2176.9096288327041</v>
      </c>
      <c r="J4" s="333"/>
      <c r="K4" s="237"/>
      <c r="L4" s="240"/>
      <c r="M4" s="269"/>
      <c r="N4" s="64"/>
      <c r="O4" s="75" t="s">
        <v>35</v>
      </c>
      <c r="P4" s="65">
        <v>120</v>
      </c>
      <c r="Q4" s="66" t="s">
        <v>32</v>
      </c>
      <c r="R4" s="10"/>
      <c r="S4" s="6"/>
      <c r="T4" s="6"/>
      <c r="U4" s="6"/>
    </row>
    <row r="5" spans="1:21" x14ac:dyDescent="0.3">
      <c r="A5" s="312"/>
      <c r="B5">
        <v>3</v>
      </c>
      <c r="C5" s="122"/>
      <c r="D5" s="122">
        <v>2.4790000000000001</v>
      </c>
      <c r="E5" s="10">
        <f t="shared" si="0"/>
        <v>2.4790000000000001</v>
      </c>
      <c r="F5" s="10">
        <f>E5-$P$12</f>
        <v>0.28299999999999992</v>
      </c>
      <c r="G5" s="112">
        <f>(F5/($P$13*$P$6))*($P$5/$P$4)</f>
        <v>3.7000926424003339E-5</v>
      </c>
      <c r="H5" s="367">
        <f t="shared" si="1"/>
        <v>37.000926424003339</v>
      </c>
      <c r="I5" s="184">
        <f>H5*$P$9</f>
        <v>1850.0463212001669</v>
      </c>
      <c r="J5" s="333">
        <f>I5/PROT!G7</f>
        <v>43.105899219364908</v>
      </c>
      <c r="K5" s="237"/>
      <c r="L5" s="240"/>
      <c r="N5" s="67"/>
      <c r="O5" s="73" t="s">
        <v>36</v>
      </c>
      <c r="P5" s="68">
        <v>300</v>
      </c>
      <c r="Q5" s="69" t="s">
        <v>32</v>
      </c>
      <c r="R5" s="10"/>
      <c r="S5" s="6"/>
      <c r="T5" s="6"/>
      <c r="U5" s="6"/>
    </row>
    <row r="6" spans="1:21" ht="15" thickBot="1" x14ac:dyDescent="0.35">
      <c r="A6" s="312"/>
      <c r="B6">
        <v>4</v>
      </c>
      <c r="C6" s="122">
        <v>2.5179999999999998</v>
      </c>
      <c r="D6" s="122">
        <v>2.3090000000000002</v>
      </c>
      <c r="E6" s="10">
        <f t="shared" si="0"/>
        <v>2.4135</v>
      </c>
      <c r="F6" s="10">
        <f>E6-$P$12</f>
        <v>0.2174999999999998</v>
      </c>
      <c r="G6" s="112">
        <f>(F6/($P$13*$P$6))*($P$5/$P$4)</f>
        <v>2.8437107764030818E-5</v>
      </c>
      <c r="H6" s="367">
        <f t="shared" si="1"/>
        <v>28.437107764030817</v>
      </c>
      <c r="I6" s="184">
        <f>H6*$P$9</f>
        <v>1421.8553882015408</v>
      </c>
      <c r="J6" s="333">
        <f>I6/PROT!G8</f>
        <v>34.715692286096775</v>
      </c>
      <c r="K6" s="237"/>
      <c r="L6" s="240"/>
      <c r="N6" s="70"/>
      <c r="O6" s="74" t="s">
        <v>37</v>
      </c>
      <c r="P6" s="79">
        <f>P5/350</f>
        <v>0.8571428571428571</v>
      </c>
      <c r="Q6" s="72" t="s">
        <v>33</v>
      </c>
      <c r="R6" s="10"/>
      <c r="S6" s="6"/>
      <c r="T6" s="6"/>
      <c r="U6" s="6"/>
    </row>
    <row r="7" spans="1:21" x14ac:dyDescent="0.3">
      <c r="A7" s="312"/>
      <c r="B7">
        <v>5</v>
      </c>
      <c r="C7" s="122">
        <v>2.335</v>
      </c>
      <c r="D7" s="122">
        <v>2.4569999999999999</v>
      </c>
      <c r="E7" s="10">
        <f t="shared" si="0"/>
        <v>2.3959999999999999</v>
      </c>
      <c r="F7" s="10">
        <f>E7-$P$12</f>
        <v>0.19999999999999973</v>
      </c>
      <c r="G7" s="112">
        <f>(F7/($P$13*$P$6))*($P$5/$P$4)</f>
        <v>2.6149064610603038E-5</v>
      </c>
      <c r="H7" s="367">
        <f t="shared" si="1"/>
        <v>26.149064610603038</v>
      </c>
      <c r="I7" s="184">
        <f>H7*$P$9</f>
        <v>1307.4532305301518</v>
      </c>
      <c r="J7" s="333">
        <f>I7/PROT!G9</f>
        <v>29.014701089432172</v>
      </c>
      <c r="K7" s="237"/>
      <c r="L7" s="240"/>
      <c r="R7" s="15"/>
      <c r="S7" s="21"/>
      <c r="T7" s="20"/>
      <c r="U7" s="6"/>
    </row>
    <row r="8" spans="1:21" ht="15" thickBot="1" x14ac:dyDescent="0.35">
      <c r="A8" s="312"/>
      <c r="B8">
        <v>6</v>
      </c>
      <c r="C8" s="122">
        <v>2.3679999999999999</v>
      </c>
      <c r="D8" s="122">
        <v>2.3639999999999999</v>
      </c>
      <c r="E8" s="10">
        <f t="shared" si="0"/>
        <v>2.3659999999999997</v>
      </c>
      <c r="F8" s="10">
        <f>E8-$P$12</f>
        <v>0.16999999999999948</v>
      </c>
      <c r="G8" s="112">
        <f>(F8/($P$13*$P$6))*($P$5/$P$4)</f>
        <v>2.2226704919012546E-5</v>
      </c>
      <c r="H8" s="367">
        <f t="shared" si="1"/>
        <v>22.226704919012548</v>
      </c>
      <c r="I8" s="184">
        <f>H8*$P$9</f>
        <v>1111.3352459506273</v>
      </c>
      <c r="J8" s="333">
        <f>I8/PROT!G10</f>
        <v>23.63374093006896</v>
      </c>
      <c r="K8" s="237"/>
      <c r="L8" s="240"/>
      <c r="N8" s="31" t="s">
        <v>116</v>
      </c>
      <c r="R8" s="6"/>
      <c r="S8" s="6"/>
      <c r="T8" s="6"/>
      <c r="U8" s="6"/>
    </row>
    <row r="9" spans="1:21" x14ac:dyDescent="0.3">
      <c r="A9" s="312"/>
      <c r="B9">
        <v>7</v>
      </c>
      <c r="C9" s="122">
        <v>2.41</v>
      </c>
      <c r="D9" s="122">
        <v>2.3780000000000001</v>
      </c>
      <c r="E9" s="10">
        <f t="shared" si="0"/>
        <v>2.3940000000000001</v>
      </c>
      <c r="F9" s="10">
        <f>E9-$P$12</f>
        <v>0.19799999999999995</v>
      </c>
      <c r="G9" s="112">
        <f>(F9/($P$13*$P$6))*($P$5/$P$4)</f>
        <v>2.5887573964497039E-5</v>
      </c>
      <c r="H9" s="367">
        <f t="shared" si="1"/>
        <v>25.88757396449704</v>
      </c>
      <c r="I9" s="184">
        <f>H9*$P$9</f>
        <v>1294.3786982248521</v>
      </c>
      <c r="J9" s="333">
        <f>I9/PROT!G11</f>
        <v>26.522455853619274</v>
      </c>
      <c r="K9" s="237"/>
      <c r="L9" s="240"/>
      <c r="N9" s="8"/>
      <c r="O9" s="22" t="s">
        <v>9</v>
      </c>
      <c r="P9" s="33">
        <v>50</v>
      </c>
      <c r="Q9" s="9" t="s">
        <v>10</v>
      </c>
      <c r="R9" s="6"/>
      <c r="S9" s="6"/>
      <c r="T9" s="6"/>
      <c r="U9" s="6"/>
    </row>
    <row r="10" spans="1:21" ht="14.55" customHeight="1" x14ac:dyDescent="0.3">
      <c r="A10" s="312"/>
      <c r="B10">
        <v>8</v>
      </c>
      <c r="C10" s="122">
        <v>2.3730000000000002</v>
      </c>
      <c r="D10" s="122">
        <v>2.3319999999999999</v>
      </c>
      <c r="E10" s="10">
        <f t="shared" si="0"/>
        <v>2.3525</v>
      </c>
      <c r="F10" s="10">
        <f>E10-$P$12</f>
        <v>0.15649999999999986</v>
      </c>
      <c r="G10" s="112">
        <f>(F10/($P$13*$P$6))*($P$5/$P$4)</f>
        <v>2.0461643057796888E-5</v>
      </c>
      <c r="H10" s="367">
        <f t="shared" si="1"/>
        <v>20.461643057796888</v>
      </c>
      <c r="I10" s="184">
        <f>H10*$P$9</f>
        <v>1023.0821528898443</v>
      </c>
      <c r="J10" s="333">
        <f>I10/PROT!G12</f>
        <v>23.03828200814479</v>
      </c>
      <c r="K10" s="237"/>
      <c r="L10" s="240"/>
      <c r="N10" s="11"/>
      <c r="O10" s="28" t="s">
        <v>11</v>
      </c>
      <c r="P10" s="34">
        <v>0.5</v>
      </c>
      <c r="Q10" s="12" t="s">
        <v>12</v>
      </c>
      <c r="R10" s="6"/>
      <c r="S10" s="6"/>
      <c r="T10" s="6"/>
      <c r="U10" s="6"/>
    </row>
    <row r="11" spans="1:21" ht="15" thickBot="1" x14ac:dyDescent="0.35">
      <c r="A11" s="313"/>
      <c r="B11" s="120">
        <v>9</v>
      </c>
      <c r="C11" s="125">
        <v>2.4209999999999998</v>
      </c>
      <c r="D11" s="125">
        <v>2.3029999999999999</v>
      </c>
      <c r="E11" s="119">
        <f t="shared" si="0"/>
        <v>2.3620000000000001</v>
      </c>
      <c r="F11" s="119">
        <f>E11-$P$12</f>
        <v>0.16599999999999993</v>
      </c>
      <c r="G11" s="148">
        <f>(F11/($P$13*$P$6))*($P$5/$P$4)</f>
        <v>2.1703723626800542E-5</v>
      </c>
      <c r="H11" s="368">
        <f t="shared" si="1"/>
        <v>21.703723626800542</v>
      </c>
      <c r="I11" s="185">
        <f>H11*$P$9</f>
        <v>1085.1861813400271</v>
      </c>
      <c r="J11" s="333">
        <f>I11/PROT!G13</f>
        <v>23.476622193462692</v>
      </c>
      <c r="K11" s="238"/>
      <c r="L11" s="241"/>
      <c r="N11" s="11"/>
      <c r="O11" s="28" t="s">
        <v>64</v>
      </c>
      <c r="P11" s="35">
        <v>1</v>
      </c>
      <c r="Q11" s="12" t="s">
        <v>14</v>
      </c>
      <c r="R11" s="6"/>
      <c r="S11" s="6"/>
      <c r="T11" s="6"/>
      <c r="U11" s="6"/>
    </row>
    <row r="12" spans="1:21" x14ac:dyDescent="0.3">
      <c r="A12" s="308" t="s">
        <v>90</v>
      </c>
      <c r="B12" s="139">
        <v>10</v>
      </c>
      <c r="C12" s="124">
        <v>2.3380000000000001</v>
      </c>
      <c r="D12" s="124">
        <v>2.2949999999999999</v>
      </c>
      <c r="E12" s="145">
        <f t="shared" si="0"/>
        <v>2.3165</v>
      </c>
      <c r="F12" s="145">
        <f>E12-$P$12</f>
        <v>0.12049999999999983</v>
      </c>
      <c r="G12" s="147">
        <f>(F12/($P$13*$P$6))*($P$5/$P$4)</f>
        <v>1.575481142788833E-5</v>
      </c>
      <c r="H12" s="366">
        <f t="shared" si="1"/>
        <v>15.754811427888329</v>
      </c>
      <c r="I12" s="183">
        <f>H12*$P$9</f>
        <v>787.74057139441652</v>
      </c>
      <c r="J12" s="332">
        <f>I12/PROT!G14</f>
        <v>18.276935595203142</v>
      </c>
      <c r="K12" s="236">
        <f t="shared" ref="K12" si="2">AVERAGE(J12:J20)</f>
        <v>15.473841646158922</v>
      </c>
      <c r="L12" s="239">
        <f t="shared" ref="L12" si="3">STDEV(J12:J20)</f>
        <v>5.2278822182774007</v>
      </c>
      <c r="N12" s="11"/>
      <c r="O12" s="28" t="s">
        <v>15</v>
      </c>
      <c r="P12" s="149">
        <v>2.1960000000000002</v>
      </c>
      <c r="Q12" s="12" t="s">
        <v>24</v>
      </c>
      <c r="R12" s="6"/>
      <c r="S12" s="6"/>
      <c r="T12" s="6"/>
      <c r="U12" s="6"/>
    </row>
    <row r="13" spans="1:21" ht="16.8" thickBot="1" x14ac:dyDescent="0.35">
      <c r="A13" s="309"/>
      <c r="B13">
        <v>11</v>
      </c>
      <c r="C13" s="122">
        <v>2.302</v>
      </c>
      <c r="D13" s="122">
        <v>2.2589999999999999</v>
      </c>
      <c r="E13" s="10">
        <f t="shared" si="0"/>
        <v>2.2805</v>
      </c>
      <c r="F13" s="10">
        <f>E13-$P$12</f>
        <v>8.4499999999999797E-2</v>
      </c>
      <c r="G13" s="112">
        <f>(F13/($P$13*$P$6))*($P$5/$P$4)</f>
        <v>1.1047979797979773E-5</v>
      </c>
      <c r="H13" s="367">
        <f t="shared" si="1"/>
        <v>11.047979797979773</v>
      </c>
      <c r="I13" s="184">
        <f>H13*$P$9</f>
        <v>552.39898989898859</v>
      </c>
      <c r="J13" s="333">
        <f>I13/PROT!G15</f>
        <v>13.206151875228308</v>
      </c>
      <c r="K13" s="237"/>
      <c r="L13" s="240"/>
      <c r="N13" s="13"/>
      <c r="O13" s="14" t="s">
        <v>65</v>
      </c>
      <c r="P13" s="29">
        <v>22308</v>
      </c>
      <c r="Q13" s="30" t="s">
        <v>22</v>
      </c>
      <c r="R13" s="6"/>
      <c r="S13" s="6"/>
      <c r="T13" s="6"/>
      <c r="U13" s="6"/>
    </row>
    <row r="14" spans="1:21" x14ac:dyDescent="0.3">
      <c r="A14" s="309"/>
      <c r="B14">
        <v>12</v>
      </c>
      <c r="C14" s="122">
        <v>2.3319999999999999</v>
      </c>
      <c r="D14" s="122">
        <v>2.2869999999999999</v>
      </c>
      <c r="E14" s="10">
        <f t="shared" si="0"/>
        <v>2.3094999999999999</v>
      </c>
      <c r="F14" s="10">
        <f>E14-$P$12</f>
        <v>0.11349999999999971</v>
      </c>
      <c r="G14" s="112">
        <f>(F14/($P$13*$P$6))*($P$5/$P$4)</f>
        <v>1.4839594166517207E-5</v>
      </c>
      <c r="H14" s="367">
        <f t="shared" si="1"/>
        <v>14.839594166517207</v>
      </c>
      <c r="I14" s="184">
        <f>H14*$P$9</f>
        <v>741.97970832586032</v>
      </c>
      <c r="J14" s="333">
        <f>I14/PROT!G16</f>
        <v>17.21520489672659</v>
      </c>
      <c r="K14" s="237"/>
      <c r="L14" s="240"/>
      <c r="R14" s="6"/>
      <c r="S14" s="6"/>
      <c r="T14" s="6"/>
      <c r="U14" s="6"/>
    </row>
    <row r="15" spans="1:21" ht="15" thickBot="1" x14ac:dyDescent="0.35">
      <c r="A15" s="309"/>
      <c r="B15">
        <v>13</v>
      </c>
      <c r="C15" s="122">
        <v>2.3210000000000002</v>
      </c>
      <c r="D15" s="122">
        <v>2.298</v>
      </c>
      <c r="E15" s="10">
        <f t="shared" si="0"/>
        <v>2.3094999999999999</v>
      </c>
      <c r="F15" s="10">
        <f>E15-$P$12</f>
        <v>0.11349999999999971</v>
      </c>
      <c r="G15" s="112">
        <f>(F15/($P$13*$P$6))*($P$5/$P$4)</f>
        <v>1.4839594166517207E-5</v>
      </c>
      <c r="H15" s="367">
        <f t="shared" si="1"/>
        <v>14.839594166517207</v>
      </c>
      <c r="I15" s="184">
        <f>H15*$P$9</f>
        <v>741.97970832586032</v>
      </c>
      <c r="J15" s="333">
        <f>I15/PROT!G17</f>
        <v>16.426119874722314</v>
      </c>
      <c r="K15" s="237"/>
      <c r="L15" s="240"/>
      <c r="N15" s="16" t="s">
        <v>16</v>
      </c>
      <c r="R15" s="6"/>
      <c r="S15" s="6"/>
      <c r="T15" s="6"/>
      <c r="U15" s="6"/>
    </row>
    <row r="16" spans="1:21" ht="15" thickBot="1" x14ac:dyDescent="0.35">
      <c r="A16" s="309"/>
      <c r="B16">
        <v>14</v>
      </c>
      <c r="C16" s="122">
        <v>2.617</v>
      </c>
      <c r="D16" s="122">
        <v>2.3239999999999998</v>
      </c>
      <c r="E16" s="10">
        <f t="shared" si="0"/>
        <v>2.4704999999999999</v>
      </c>
      <c r="F16" s="10">
        <f>E16-$P$12</f>
        <v>0.27449999999999974</v>
      </c>
      <c r="G16" s="112">
        <f>(F16/($P$13*$P$6))*($P$5/$P$4)</f>
        <v>3.5889591178052687E-5</v>
      </c>
      <c r="H16" s="367">
        <f t="shared" si="1"/>
        <v>35.889591178052683</v>
      </c>
      <c r="I16" s="184">
        <f>H16*$P$9</f>
        <v>1794.4795589026342</v>
      </c>
      <c r="J16" s="333"/>
      <c r="K16" s="237"/>
      <c r="L16" s="240"/>
      <c r="N16" s="37" t="s">
        <v>17</v>
      </c>
      <c r="O16" s="38" t="s">
        <v>18</v>
      </c>
      <c r="P16" s="39" t="s">
        <v>19</v>
      </c>
      <c r="Q16" s="6"/>
      <c r="R16" s="6"/>
      <c r="S16" s="6"/>
      <c r="T16" s="6"/>
      <c r="U16" s="6"/>
    </row>
    <row r="17" spans="1:26" ht="15" thickBot="1" x14ac:dyDescent="0.35">
      <c r="A17" s="309"/>
      <c r="B17">
        <v>15</v>
      </c>
      <c r="C17" s="122">
        <v>2.2599999999999998</v>
      </c>
      <c r="D17" s="122">
        <v>2.2429999999999999</v>
      </c>
      <c r="E17" s="10">
        <f t="shared" si="0"/>
        <v>2.2515000000000001</v>
      </c>
      <c r="F17" s="10">
        <f>E17-$P$12</f>
        <v>5.5499999999999883E-2</v>
      </c>
      <c r="G17" s="112">
        <f>(F17/($P$13*$P$6))*($P$5/$P$4)</f>
        <v>7.2563654294423379E-6</v>
      </c>
      <c r="H17" s="367">
        <f t="shared" si="1"/>
        <v>7.2563654294423383</v>
      </c>
      <c r="I17" s="184">
        <f>H17*$P$9</f>
        <v>362.81827147211692</v>
      </c>
      <c r="J17" s="333">
        <f>I17/PROT!G19</f>
        <v>7.2246117779663521</v>
      </c>
      <c r="K17" s="237"/>
      <c r="L17" s="240"/>
      <c r="N17" s="314" t="s">
        <v>88</v>
      </c>
      <c r="O17" s="328">
        <f>K21</f>
        <v>23.012538866110997</v>
      </c>
      <c r="P17" s="17">
        <f>L21</f>
        <v>3.8881840645023935</v>
      </c>
      <c r="S17" s="6"/>
      <c r="T17" s="6"/>
      <c r="U17" s="6"/>
    </row>
    <row r="18" spans="1:26" x14ac:dyDescent="0.3">
      <c r="A18" s="309"/>
      <c r="B18">
        <v>16</v>
      </c>
      <c r="C18" s="122">
        <v>2.323</v>
      </c>
      <c r="D18" s="122">
        <v>2.246</v>
      </c>
      <c r="E18" s="10">
        <f t="shared" si="0"/>
        <v>2.2845</v>
      </c>
      <c r="F18" s="10">
        <f>E18-$P$12</f>
        <v>8.8499999999999801E-2</v>
      </c>
      <c r="G18" s="112">
        <f>(F18/($P$13*$P$6))*($P$5/$P$4)</f>
        <v>1.1570961090191834E-5</v>
      </c>
      <c r="H18" s="367">
        <f t="shared" si="1"/>
        <v>11.570961090191835</v>
      </c>
      <c r="I18" s="184">
        <f>H18*$P$9</f>
        <v>578.54805450959179</v>
      </c>
      <c r="J18" s="333">
        <f>I18/PROT!G20</f>
        <v>15.01808301414272</v>
      </c>
      <c r="K18" s="237"/>
      <c r="L18" s="240"/>
      <c r="N18" s="315" t="s">
        <v>89</v>
      </c>
      <c r="O18" s="256">
        <f>K3</f>
        <v>28.355244308006114</v>
      </c>
      <c r="P18" s="364">
        <f>L3</f>
        <v>7.1853224760034857</v>
      </c>
      <c r="S18" s="6"/>
      <c r="T18" s="6"/>
      <c r="U18" s="6"/>
    </row>
    <row r="19" spans="1:26" ht="15" thickBot="1" x14ac:dyDescent="0.35">
      <c r="A19" s="309"/>
      <c r="B19">
        <v>17</v>
      </c>
      <c r="C19" s="122">
        <v>2.298</v>
      </c>
      <c r="D19" s="122">
        <v>2.258</v>
      </c>
      <c r="E19" s="10">
        <f t="shared" si="0"/>
        <v>2.278</v>
      </c>
      <c r="F19" s="10">
        <f>E19-$P$12</f>
        <v>8.1999999999999851E-2</v>
      </c>
      <c r="G19" s="112">
        <f>(F19/($P$13*$P$6))*($P$5/$P$4)</f>
        <v>1.0721116490347243E-5</v>
      </c>
      <c r="H19" s="367">
        <f t="shared" si="1"/>
        <v>10.721116490347242</v>
      </c>
      <c r="I19" s="184">
        <f>H19*$P$9</f>
        <v>536.05582451736211</v>
      </c>
      <c r="J19" s="333">
        <f>I19/PROT!G21</f>
        <v>11.46178156107567</v>
      </c>
      <c r="K19" s="237"/>
      <c r="L19" s="240"/>
      <c r="N19" s="316" t="s">
        <v>90</v>
      </c>
      <c r="O19" s="27">
        <f>K12</f>
        <v>15.473841646158922</v>
      </c>
      <c r="P19" s="365">
        <f>L12</f>
        <v>5.2278822182774007</v>
      </c>
    </row>
    <row r="20" spans="1:26" ht="15" thickBot="1" x14ac:dyDescent="0.35">
      <c r="A20" s="310"/>
      <c r="B20" s="120">
        <v>18</v>
      </c>
      <c r="C20" s="125">
        <v>2.39</v>
      </c>
      <c r="D20" s="125">
        <v>2.3170000000000002</v>
      </c>
      <c r="E20" s="119">
        <f t="shared" si="0"/>
        <v>2.3535000000000004</v>
      </c>
      <c r="F20" s="119">
        <f>E20-$P$12</f>
        <v>0.1575000000000002</v>
      </c>
      <c r="G20" s="148">
        <f>(F20/($P$13*$P$6))*($P$5/$P$4)</f>
        <v>2.059238838084995E-5</v>
      </c>
      <c r="H20" s="368">
        <f t="shared" si="1"/>
        <v>20.59238838084995</v>
      </c>
      <c r="I20" s="185">
        <f>H20*$P$9</f>
        <v>1029.6194190424976</v>
      </c>
      <c r="J20" s="198">
        <f>I20/PROT!G22</f>
        <v>24.9618445742063</v>
      </c>
      <c r="K20" s="238"/>
      <c r="L20" s="241"/>
    </row>
    <row r="21" spans="1:26" x14ac:dyDescent="0.3">
      <c r="A21" s="306" t="s">
        <v>88</v>
      </c>
      <c r="B21" s="139">
        <v>19</v>
      </c>
      <c r="C21" s="124">
        <v>2.3879999999999999</v>
      </c>
      <c r="D21" s="124">
        <v>2.2879999999999998</v>
      </c>
      <c r="E21" s="145">
        <f t="shared" si="0"/>
        <v>2.3380000000000001</v>
      </c>
      <c r="F21" s="145">
        <f>E21-$P$12</f>
        <v>0.1419999999999999</v>
      </c>
      <c r="G21" s="147">
        <f>(F21/($P$13*$P$6))*($P$5/$P$4)</f>
        <v>1.8565835873528168E-5</v>
      </c>
      <c r="H21" s="366">
        <f t="shared" si="1"/>
        <v>18.565835873528169</v>
      </c>
      <c r="I21" s="183">
        <f>H21*$P$9</f>
        <v>928.29179367640847</v>
      </c>
      <c r="J21" s="196">
        <f>I21/PROT!G23</f>
        <v>26.998967914966485</v>
      </c>
      <c r="K21" s="236">
        <f>AVERAGE(J21:J25)</f>
        <v>23.012538866110997</v>
      </c>
      <c r="L21" s="239">
        <f>STDEV(J21:J25)</f>
        <v>3.8881840645023935</v>
      </c>
    </row>
    <row r="22" spans="1:26" x14ac:dyDescent="0.3">
      <c r="A22" s="307"/>
      <c r="B22">
        <v>20</v>
      </c>
      <c r="C22" s="122">
        <v>2.3359999999999999</v>
      </c>
      <c r="D22" s="122">
        <v>2.3479999999999999</v>
      </c>
      <c r="E22" s="10">
        <f t="shared" si="0"/>
        <v>2.3419999999999996</v>
      </c>
      <c r="F22" s="10">
        <f>E22-$P$12</f>
        <v>0.14599999999999946</v>
      </c>
      <c r="G22" s="112">
        <f>(F22/($P$13*$P$6))*($P$5/$P$4)</f>
        <v>1.9088817165740176E-5</v>
      </c>
      <c r="H22" s="367">
        <f t="shared" si="1"/>
        <v>19.088817165740174</v>
      </c>
      <c r="I22" s="184">
        <f>H22*$P$9</f>
        <v>954.44085828700872</v>
      </c>
      <c r="J22" s="197">
        <f>I22/PROT!G24</f>
        <v>21.439971301571827</v>
      </c>
      <c r="K22" s="237"/>
      <c r="L22" s="240"/>
      <c r="N22" s="32"/>
    </row>
    <row r="23" spans="1:26" x14ac:dyDescent="0.3">
      <c r="A23" s="307"/>
      <c r="B23">
        <v>21</v>
      </c>
      <c r="C23" s="122">
        <v>2.3980000000000001</v>
      </c>
      <c r="D23" s="122">
        <v>2.2240000000000002</v>
      </c>
      <c r="E23" s="10">
        <f t="shared" si="0"/>
        <v>2.3109999999999999</v>
      </c>
      <c r="F23" s="10">
        <f>E23-$P$12</f>
        <v>0.11499999999999977</v>
      </c>
      <c r="G23" s="112">
        <f>(F23/($P$13*$P$6))*($P$5/$P$4)</f>
        <v>1.5035712151096738E-5</v>
      </c>
      <c r="H23" s="367">
        <f t="shared" si="1"/>
        <v>15.035712151096737</v>
      </c>
      <c r="I23" s="184">
        <f>H23*$P$9</f>
        <v>751.78560755483682</v>
      </c>
      <c r="J23" s="197">
        <f>I23/PROT!G25</f>
        <v>17.605935754314707</v>
      </c>
      <c r="K23" s="237"/>
      <c r="L23" s="240"/>
    </row>
    <row r="24" spans="1:26" x14ac:dyDescent="0.3">
      <c r="A24" s="307"/>
      <c r="B24">
        <v>22</v>
      </c>
      <c r="C24" s="122">
        <v>2.5870000000000002</v>
      </c>
      <c r="D24" s="122">
        <v>2.1669999999999998</v>
      </c>
      <c r="E24" s="10">
        <f t="shared" si="0"/>
        <v>2.3769999999999998</v>
      </c>
      <c r="F24" s="10">
        <f>E24-$P$12</f>
        <v>0.18099999999999961</v>
      </c>
      <c r="G24" s="112">
        <f>(F24/($P$13*$P$6))*($P$5/$P$4)</f>
        <v>2.366490347259573E-5</v>
      </c>
      <c r="H24" s="367">
        <f t="shared" si="1"/>
        <v>23.664903472595729</v>
      </c>
      <c r="I24" s="184">
        <f>H24*$P$9</f>
        <v>1183.2451736297864</v>
      </c>
      <c r="J24" s="197">
        <f>I24/PROT!G26</f>
        <v>26.558020162266541</v>
      </c>
      <c r="K24" s="237"/>
      <c r="L24" s="240"/>
      <c r="N24" s="2"/>
      <c r="P24" s="6"/>
      <c r="Q24" s="6"/>
    </row>
    <row r="25" spans="1:26" ht="15" thickBot="1" x14ac:dyDescent="0.35">
      <c r="A25" s="318"/>
      <c r="B25" s="120">
        <v>23</v>
      </c>
      <c r="C25" s="125">
        <v>2.3159999999999998</v>
      </c>
      <c r="D25" s="125">
        <v>2.3140000000000001</v>
      </c>
      <c r="E25" s="119">
        <f t="shared" si="0"/>
        <v>2.3149999999999999</v>
      </c>
      <c r="F25" s="119">
        <f>E25-$P$12</f>
        <v>0.11899999999999977</v>
      </c>
      <c r="G25" s="148">
        <f>(F25/($P$13*$P$6))*($P$5/$P$4)</f>
        <v>1.5558693443308799E-5</v>
      </c>
      <c r="H25" s="368">
        <f t="shared" si="1"/>
        <v>15.558693443308799</v>
      </c>
      <c r="I25" s="185">
        <f>H25*$P$9</f>
        <v>777.93467216544002</v>
      </c>
      <c r="J25" s="198">
        <f>I25/PROT!G27</f>
        <v>22.459799197435437</v>
      </c>
      <c r="K25" s="238"/>
      <c r="L25" s="241"/>
      <c r="N25" s="16"/>
      <c r="O25" s="2"/>
      <c r="P25" s="2"/>
      <c r="Q25" s="6"/>
      <c r="R25" t="s">
        <v>93</v>
      </c>
    </row>
    <row r="26" spans="1:26" x14ac:dyDescent="0.3">
      <c r="A26" s="136"/>
      <c r="G26" s="112"/>
      <c r="H26" s="146"/>
      <c r="I26" s="10"/>
      <c r="J26" s="3"/>
      <c r="K26" s="3"/>
      <c r="L26" s="3"/>
      <c r="Q26" s="6" t="s">
        <v>2</v>
      </c>
      <c r="R26" t="s">
        <v>102</v>
      </c>
    </row>
    <row r="27" spans="1:26" x14ac:dyDescent="0.3">
      <c r="A27" s="136"/>
      <c r="G27" s="112"/>
      <c r="H27" s="146"/>
      <c r="I27" s="10"/>
      <c r="J27" s="3"/>
      <c r="K27" s="3"/>
      <c r="L27" s="3"/>
      <c r="Q27" s="6"/>
      <c r="R27" t="s">
        <v>56</v>
      </c>
    </row>
    <row r="28" spans="1:26" x14ac:dyDescent="0.3">
      <c r="A28" s="136"/>
      <c r="G28" s="112"/>
      <c r="H28" s="146"/>
      <c r="I28" s="10"/>
      <c r="J28" s="3"/>
      <c r="K28" s="3"/>
      <c r="L28" s="3"/>
      <c r="Q28" s="6"/>
      <c r="R28" t="s">
        <v>57</v>
      </c>
    </row>
    <row r="29" spans="1:26" x14ac:dyDescent="0.3">
      <c r="A29" s="136"/>
      <c r="G29" s="112"/>
      <c r="H29" s="146"/>
      <c r="I29" s="10"/>
      <c r="J29" s="3"/>
      <c r="K29" s="3"/>
      <c r="L29" s="3"/>
      <c r="Q29" s="6"/>
    </row>
    <row r="30" spans="1:26" x14ac:dyDescent="0.3">
      <c r="A30" s="136"/>
      <c r="G30" s="112"/>
      <c r="H30" s="146"/>
      <c r="I30" s="10"/>
      <c r="J30" s="3"/>
      <c r="K30" s="3"/>
      <c r="L30" s="3"/>
      <c r="Q30" s="6"/>
      <c r="Z30" s="227"/>
    </row>
    <row r="31" spans="1:26" x14ac:dyDescent="0.3">
      <c r="A31" s="136"/>
      <c r="G31" s="112"/>
      <c r="H31" s="146"/>
      <c r="I31" s="10"/>
      <c r="J31" s="3"/>
      <c r="K31" s="3"/>
      <c r="L31" s="3"/>
      <c r="Q31" s="6"/>
    </row>
    <row r="32" spans="1:26" x14ac:dyDescent="0.3">
      <c r="A32" s="136"/>
      <c r="G32" s="112"/>
      <c r="H32" s="146"/>
      <c r="I32" s="10"/>
      <c r="J32" s="3"/>
      <c r="K32" s="3"/>
      <c r="L32" s="3"/>
    </row>
    <row r="33" spans="1:16" x14ac:dyDescent="0.3">
      <c r="A33" s="136"/>
      <c r="G33" s="112"/>
      <c r="H33" s="146"/>
      <c r="I33" s="10"/>
      <c r="J33" s="3"/>
      <c r="K33" s="3"/>
      <c r="L33" s="3"/>
    </row>
    <row r="34" spans="1:16" x14ac:dyDescent="0.3">
      <c r="A34" s="136"/>
      <c r="G34" s="112"/>
      <c r="H34" s="146"/>
      <c r="I34" s="10"/>
      <c r="J34" s="3"/>
      <c r="K34" s="3"/>
      <c r="L34" s="3"/>
    </row>
    <row r="35" spans="1:16" x14ac:dyDescent="0.3">
      <c r="A35" s="136"/>
      <c r="G35" s="112"/>
      <c r="H35" s="146"/>
      <c r="I35" s="10"/>
      <c r="J35" s="3"/>
      <c r="K35" s="3"/>
      <c r="L35" s="3"/>
    </row>
    <row r="36" spans="1:16" x14ac:dyDescent="0.3">
      <c r="A36" s="136"/>
      <c r="G36" s="112"/>
      <c r="H36" s="146"/>
      <c r="I36" s="10"/>
      <c r="J36" s="3"/>
      <c r="K36" s="3"/>
      <c r="L36" s="3"/>
      <c r="O36" s="220" t="s">
        <v>106</v>
      </c>
      <c r="P36" s="220" t="s">
        <v>107</v>
      </c>
    </row>
    <row r="37" spans="1:16" x14ac:dyDescent="0.3">
      <c r="A37" s="136"/>
      <c r="G37" s="112"/>
      <c r="H37" s="146"/>
      <c r="I37" s="10"/>
      <c r="J37" s="3"/>
      <c r="K37" s="3"/>
      <c r="L37" s="3"/>
      <c r="O37" t="s">
        <v>103</v>
      </c>
      <c r="P37" s="221">
        <v>0.26886158160000001</v>
      </c>
    </row>
    <row r="38" spans="1:16" ht="16.8" customHeight="1" x14ac:dyDescent="0.3">
      <c r="A38" s="136"/>
      <c r="G38" s="112"/>
      <c r="H38" s="146"/>
      <c r="I38" s="10"/>
      <c r="J38" s="3"/>
      <c r="K38" s="3"/>
      <c r="L38" s="3"/>
      <c r="O38" t="s">
        <v>104</v>
      </c>
      <c r="P38" s="221">
        <v>8.6971735460000005E-2</v>
      </c>
    </row>
    <row r="39" spans="1:16" x14ac:dyDescent="0.3">
      <c r="J39" s="77"/>
      <c r="K39" s="77"/>
      <c r="L39" s="77"/>
      <c r="O39" t="s">
        <v>105</v>
      </c>
      <c r="P39" s="221">
        <v>9.3008863340000001E-4</v>
      </c>
    </row>
    <row r="44" spans="1:16" x14ac:dyDescent="0.3">
      <c r="B44" s="337"/>
      <c r="C44" s="337"/>
      <c r="D44" s="337"/>
      <c r="E44" s="337"/>
      <c r="F44" s="337"/>
      <c r="G44" s="337"/>
      <c r="H44" s="337"/>
      <c r="I44" s="337"/>
      <c r="J44" s="337"/>
      <c r="K44" s="259"/>
    </row>
    <row r="45" spans="1:16" x14ac:dyDescent="0.3">
      <c r="B45" s="337"/>
      <c r="C45" s="337"/>
      <c r="D45" s="337"/>
      <c r="E45" s="337"/>
      <c r="F45" s="337"/>
      <c r="G45" s="337"/>
      <c r="H45" s="337"/>
      <c r="I45" s="337"/>
      <c r="J45" s="337"/>
      <c r="K45" s="259"/>
    </row>
    <row r="46" spans="1:16" x14ac:dyDescent="0.3">
      <c r="B46" s="337"/>
      <c r="C46" s="337"/>
      <c r="D46" s="337"/>
      <c r="E46" s="337"/>
      <c r="F46" s="337"/>
      <c r="G46" s="337"/>
      <c r="H46" s="337"/>
      <c r="I46" s="337"/>
      <c r="J46" s="337"/>
      <c r="K46" s="259"/>
    </row>
    <row r="47" spans="1:16" x14ac:dyDescent="0.3">
      <c r="B47" s="337"/>
      <c r="C47" s="337"/>
      <c r="D47" s="337"/>
      <c r="E47" s="337"/>
      <c r="F47" s="337"/>
      <c r="G47" s="337"/>
      <c r="H47" s="337"/>
      <c r="I47" s="337"/>
      <c r="J47" s="337"/>
      <c r="K47" s="259"/>
    </row>
  </sheetData>
  <mergeCells count="11">
    <mergeCell ref="L21:L25"/>
    <mergeCell ref="K1:L1"/>
    <mergeCell ref="A21:A25"/>
    <mergeCell ref="K21:K25"/>
    <mergeCell ref="N3:Q3"/>
    <mergeCell ref="A3:A11"/>
    <mergeCell ref="A12:A20"/>
    <mergeCell ref="K3:K11"/>
    <mergeCell ref="L3:L11"/>
    <mergeCell ref="K12:K20"/>
    <mergeCell ref="L12:L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A2B1B-96B1-4945-A7D4-1AED27B92756}">
  <dimension ref="A1:B22"/>
  <sheetViews>
    <sheetView workbookViewId="0">
      <selection activeCell="P23" sqref="P23"/>
    </sheetView>
  </sheetViews>
  <sheetFormatPr defaultRowHeight="14.4" x14ac:dyDescent="0.3"/>
  <cols>
    <col min="1" max="1" width="14.77734375" bestFit="1" customWidth="1"/>
  </cols>
  <sheetData>
    <row r="1" spans="1:2" x14ac:dyDescent="0.3">
      <c r="A1" s="194" t="s">
        <v>91</v>
      </c>
      <c r="B1" s="194" t="s">
        <v>86</v>
      </c>
    </row>
    <row r="2" spans="1:2" x14ac:dyDescent="0.3">
      <c r="A2" t="s">
        <v>88</v>
      </c>
      <c r="B2" s="6">
        <v>26.998967914966485</v>
      </c>
    </row>
    <row r="3" spans="1:2" x14ac:dyDescent="0.3">
      <c r="A3" t="s">
        <v>88</v>
      </c>
      <c r="B3" s="6">
        <v>21.439971301571827</v>
      </c>
    </row>
    <row r="4" spans="1:2" x14ac:dyDescent="0.3">
      <c r="A4" t="s">
        <v>88</v>
      </c>
      <c r="B4" s="6">
        <v>17.605935754314707</v>
      </c>
    </row>
    <row r="5" spans="1:2" x14ac:dyDescent="0.3">
      <c r="A5" t="s">
        <v>88</v>
      </c>
      <c r="B5" s="6">
        <v>26.558020162266541</v>
      </c>
    </row>
    <row r="6" spans="1:2" x14ac:dyDescent="0.3">
      <c r="A6" t="s">
        <v>88</v>
      </c>
      <c r="B6" s="6">
        <v>22.459799197435437</v>
      </c>
    </row>
    <row r="7" spans="1:2" x14ac:dyDescent="0.3">
      <c r="A7" t="s">
        <v>89</v>
      </c>
      <c r="B7" s="6">
        <v>23.334560883859321</v>
      </c>
    </row>
    <row r="8" spans="1:2" x14ac:dyDescent="0.3">
      <c r="A8" t="s">
        <v>89</v>
      </c>
      <c r="B8" s="6">
        <v>43.105899219364908</v>
      </c>
    </row>
    <row r="9" spans="1:2" x14ac:dyDescent="0.3">
      <c r="A9" t="s">
        <v>89</v>
      </c>
      <c r="B9" s="6">
        <v>34.715692286096775</v>
      </c>
    </row>
    <row r="10" spans="1:2" x14ac:dyDescent="0.3">
      <c r="A10" t="s">
        <v>89</v>
      </c>
      <c r="B10" s="6">
        <v>29.014701089432172</v>
      </c>
    </row>
    <row r="11" spans="1:2" x14ac:dyDescent="0.3">
      <c r="A11" t="s">
        <v>89</v>
      </c>
      <c r="B11" s="6">
        <v>23.63374093006896</v>
      </c>
    </row>
    <row r="12" spans="1:2" x14ac:dyDescent="0.3">
      <c r="A12" t="s">
        <v>89</v>
      </c>
      <c r="B12" s="6">
        <v>26.522455853619274</v>
      </c>
    </row>
    <row r="13" spans="1:2" x14ac:dyDescent="0.3">
      <c r="A13" t="s">
        <v>89</v>
      </c>
      <c r="B13" s="6">
        <v>23.03828200814479</v>
      </c>
    </row>
    <row r="14" spans="1:2" x14ac:dyDescent="0.3">
      <c r="A14" t="s">
        <v>89</v>
      </c>
      <c r="B14" s="6">
        <v>23.476622193462692</v>
      </c>
    </row>
    <row r="15" spans="1:2" x14ac:dyDescent="0.3">
      <c r="A15" t="s">
        <v>90</v>
      </c>
      <c r="B15" s="6">
        <v>18.276935595203142</v>
      </c>
    </row>
    <row r="16" spans="1:2" x14ac:dyDescent="0.3">
      <c r="A16" t="s">
        <v>90</v>
      </c>
      <c r="B16" s="6">
        <v>13.206151875228308</v>
      </c>
    </row>
    <row r="17" spans="1:2" x14ac:dyDescent="0.3">
      <c r="A17" t="s">
        <v>90</v>
      </c>
      <c r="B17" s="6">
        <v>17.21520489672659</v>
      </c>
    </row>
    <row r="18" spans="1:2" x14ac:dyDescent="0.3">
      <c r="A18" t="s">
        <v>90</v>
      </c>
      <c r="B18" s="6">
        <v>16.426119874722314</v>
      </c>
    </row>
    <row r="19" spans="1:2" x14ac:dyDescent="0.3">
      <c r="A19" t="s">
        <v>90</v>
      </c>
      <c r="B19" s="6">
        <v>7.2246117779663521</v>
      </c>
    </row>
    <row r="20" spans="1:2" x14ac:dyDescent="0.3">
      <c r="A20" t="s">
        <v>90</v>
      </c>
      <c r="B20" s="6">
        <v>15.01808301414272</v>
      </c>
    </row>
    <row r="21" spans="1:2" x14ac:dyDescent="0.3">
      <c r="A21" t="s">
        <v>90</v>
      </c>
      <c r="B21" s="6">
        <v>11.46178156107567</v>
      </c>
    </row>
    <row r="22" spans="1:2" x14ac:dyDescent="0.3">
      <c r="A22" t="s">
        <v>90</v>
      </c>
      <c r="B22" s="6">
        <v>24.9618445742063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2E52-5EFD-401A-98BC-A793652D71F8}">
  <sheetPr>
    <tabColor rgb="FFC00000"/>
  </sheetPr>
  <dimension ref="A1:AR74"/>
  <sheetViews>
    <sheetView zoomScale="60" zoomScaleNormal="60" workbookViewId="0">
      <selection activeCell="Q37" sqref="Q37"/>
    </sheetView>
  </sheetViews>
  <sheetFormatPr defaultRowHeight="13.2" x14ac:dyDescent="0.25"/>
  <cols>
    <col min="1" max="4" width="8.88671875" style="383"/>
    <col min="5" max="5" width="11.6640625" style="383" customWidth="1"/>
    <col min="6" max="14" width="8.88671875" style="383"/>
    <col min="15" max="15" width="12.21875" style="383" customWidth="1"/>
    <col min="16" max="16" width="13.44140625" style="383" bestFit="1" customWidth="1"/>
    <col min="17" max="19" width="8.88671875" style="383"/>
    <col min="20" max="20" width="9.77734375" style="405" bestFit="1" customWidth="1"/>
    <col min="21" max="21" width="9.5546875" style="405" customWidth="1"/>
    <col min="22" max="22" width="8.88671875" style="383"/>
    <col min="23" max="23" width="9.5546875" style="383" bestFit="1" customWidth="1"/>
    <col min="24" max="24" width="12.109375" style="383" customWidth="1"/>
    <col min="25" max="25" width="8.88671875" style="384"/>
    <col min="26" max="26" width="10.109375" style="385" customWidth="1"/>
    <col min="27" max="39" width="8.88671875" style="383"/>
    <col min="40" max="40" width="28.77734375" style="383" bestFit="1" customWidth="1"/>
    <col min="41" max="260" width="8.88671875" style="383"/>
    <col min="261" max="261" width="11.6640625" style="383" customWidth="1"/>
    <col min="262" max="270" width="8.88671875" style="383"/>
    <col min="271" max="271" width="12.21875" style="383" customWidth="1"/>
    <col min="272" max="275" width="8.88671875" style="383"/>
    <col min="276" max="276" width="9.77734375" style="383" bestFit="1" customWidth="1"/>
    <col min="277" max="277" width="9.5546875" style="383" customWidth="1"/>
    <col min="278" max="278" width="8.88671875" style="383"/>
    <col min="279" max="279" width="9.5546875" style="383" bestFit="1" customWidth="1"/>
    <col min="280" max="280" width="12.109375" style="383" customWidth="1"/>
    <col min="281" max="281" width="8.88671875" style="383"/>
    <col min="282" max="282" width="10.109375" style="383" customWidth="1"/>
    <col min="283" max="516" width="8.88671875" style="383"/>
    <col min="517" max="517" width="11.6640625" style="383" customWidth="1"/>
    <col min="518" max="526" width="8.88671875" style="383"/>
    <col min="527" max="527" width="12.21875" style="383" customWidth="1"/>
    <col min="528" max="531" width="8.88671875" style="383"/>
    <col min="532" max="532" width="9.77734375" style="383" bestFit="1" customWidth="1"/>
    <col min="533" max="533" width="9.5546875" style="383" customWidth="1"/>
    <col min="534" max="534" width="8.88671875" style="383"/>
    <col min="535" max="535" width="9.5546875" style="383" bestFit="1" customWidth="1"/>
    <col min="536" max="536" width="12.109375" style="383" customWidth="1"/>
    <col min="537" max="537" width="8.88671875" style="383"/>
    <col min="538" max="538" width="10.109375" style="383" customWidth="1"/>
    <col min="539" max="772" width="8.88671875" style="383"/>
    <col min="773" max="773" width="11.6640625" style="383" customWidth="1"/>
    <col min="774" max="782" width="8.88671875" style="383"/>
    <col min="783" max="783" width="12.21875" style="383" customWidth="1"/>
    <col min="784" max="787" width="8.88671875" style="383"/>
    <col min="788" max="788" width="9.77734375" style="383" bestFit="1" customWidth="1"/>
    <col min="789" max="789" width="9.5546875" style="383" customWidth="1"/>
    <col min="790" max="790" width="8.88671875" style="383"/>
    <col min="791" max="791" width="9.5546875" style="383" bestFit="1" customWidth="1"/>
    <col min="792" max="792" width="12.109375" style="383" customWidth="1"/>
    <col min="793" max="793" width="8.88671875" style="383"/>
    <col min="794" max="794" width="10.109375" style="383" customWidth="1"/>
    <col min="795" max="1028" width="8.88671875" style="383"/>
    <col min="1029" max="1029" width="11.6640625" style="383" customWidth="1"/>
    <col min="1030" max="1038" width="8.88671875" style="383"/>
    <col min="1039" max="1039" width="12.21875" style="383" customWidth="1"/>
    <col min="1040" max="1043" width="8.88671875" style="383"/>
    <col min="1044" max="1044" width="9.77734375" style="383" bestFit="1" customWidth="1"/>
    <col min="1045" max="1045" width="9.5546875" style="383" customWidth="1"/>
    <col min="1046" max="1046" width="8.88671875" style="383"/>
    <col min="1047" max="1047" width="9.5546875" style="383" bestFit="1" customWidth="1"/>
    <col min="1048" max="1048" width="12.109375" style="383" customWidth="1"/>
    <col min="1049" max="1049" width="8.88671875" style="383"/>
    <col min="1050" max="1050" width="10.109375" style="383" customWidth="1"/>
    <col min="1051" max="1284" width="8.88671875" style="383"/>
    <col min="1285" max="1285" width="11.6640625" style="383" customWidth="1"/>
    <col min="1286" max="1294" width="8.88671875" style="383"/>
    <col min="1295" max="1295" width="12.21875" style="383" customWidth="1"/>
    <col min="1296" max="1299" width="8.88671875" style="383"/>
    <col min="1300" max="1300" width="9.77734375" style="383" bestFit="1" customWidth="1"/>
    <col min="1301" max="1301" width="9.5546875" style="383" customWidth="1"/>
    <col min="1302" max="1302" width="8.88671875" style="383"/>
    <col min="1303" max="1303" width="9.5546875" style="383" bestFit="1" customWidth="1"/>
    <col min="1304" max="1304" width="12.109375" style="383" customWidth="1"/>
    <col min="1305" max="1305" width="8.88671875" style="383"/>
    <col min="1306" max="1306" width="10.109375" style="383" customWidth="1"/>
    <col min="1307" max="1540" width="8.88671875" style="383"/>
    <col min="1541" max="1541" width="11.6640625" style="383" customWidth="1"/>
    <col min="1542" max="1550" width="8.88671875" style="383"/>
    <col min="1551" max="1551" width="12.21875" style="383" customWidth="1"/>
    <col min="1552" max="1555" width="8.88671875" style="383"/>
    <col min="1556" max="1556" width="9.77734375" style="383" bestFit="1" customWidth="1"/>
    <col min="1557" max="1557" width="9.5546875" style="383" customWidth="1"/>
    <col min="1558" max="1558" width="8.88671875" style="383"/>
    <col min="1559" max="1559" width="9.5546875" style="383" bestFit="1" customWidth="1"/>
    <col min="1560" max="1560" width="12.109375" style="383" customWidth="1"/>
    <col min="1561" max="1561" width="8.88671875" style="383"/>
    <col min="1562" max="1562" width="10.109375" style="383" customWidth="1"/>
    <col min="1563" max="1796" width="8.88671875" style="383"/>
    <col min="1797" max="1797" width="11.6640625" style="383" customWidth="1"/>
    <col min="1798" max="1806" width="8.88671875" style="383"/>
    <col min="1807" max="1807" width="12.21875" style="383" customWidth="1"/>
    <col min="1808" max="1811" width="8.88671875" style="383"/>
    <col min="1812" max="1812" width="9.77734375" style="383" bestFit="1" customWidth="1"/>
    <col min="1813" max="1813" width="9.5546875" style="383" customWidth="1"/>
    <col min="1814" max="1814" width="8.88671875" style="383"/>
    <col min="1815" max="1815" width="9.5546875" style="383" bestFit="1" customWidth="1"/>
    <col min="1816" max="1816" width="12.109375" style="383" customWidth="1"/>
    <col min="1817" max="1817" width="8.88671875" style="383"/>
    <col min="1818" max="1818" width="10.109375" style="383" customWidth="1"/>
    <col min="1819" max="2052" width="8.88671875" style="383"/>
    <col min="2053" max="2053" width="11.6640625" style="383" customWidth="1"/>
    <col min="2054" max="2062" width="8.88671875" style="383"/>
    <col min="2063" max="2063" width="12.21875" style="383" customWidth="1"/>
    <col min="2064" max="2067" width="8.88671875" style="383"/>
    <col min="2068" max="2068" width="9.77734375" style="383" bestFit="1" customWidth="1"/>
    <col min="2069" max="2069" width="9.5546875" style="383" customWidth="1"/>
    <col min="2070" max="2070" width="8.88671875" style="383"/>
    <col min="2071" max="2071" width="9.5546875" style="383" bestFit="1" customWidth="1"/>
    <col min="2072" max="2072" width="12.109375" style="383" customWidth="1"/>
    <col min="2073" max="2073" width="8.88671875" style="383"/>
    <col min="2074" max="2074" width="10.109375" style="383" customWidth="1"/>
    <col min="2075" max="2308" width="8.88671875" style="383"/>
    <col min="2309" max="2309" width="11.6640625" style="383" customWidth="1"/>
    <col min="2310" max="2318" width="8.88671875" style="383"/>
    <col min="2319" max="2319" width="12.21875" style="383" customWidth="1"/>
    <col min="2320" max="2323" width="8.88671875" style="383"/>
    <col min="2324" max="2324" width="9.77734375" style="383" bestFit="1" customWidth="1"/>
    <col min="2325" max="2325" width="9.5546875" style="383" customWidth="1"/>
    <col min="2326" max="2326" width="8.88671875" style="383"/>
    <col min="2327" max="2327" width="9.5546875" style="383" bestFit="1" customWidth="1"/>
    <col min="2328" max="2328" width="12.109375" style="383" customWidth="1"/>
    <col min="2329" max="2329" width="8.88671875" style="383"/>
    <col min="2330" max="2330" width="10.109375" style="383" customWidth="1"/>
    <col min="2331" max="2564" width="8.88671875" style="383"/>
    <col min="2565" max="2565" width="11.6640625" style="383" customWidth="1"/>
    <col min="2566" max="2574" width="8.88671875" style="383"/>
    <col min="2575" max="2575" width="12.21875" style="383" customWidth="1"/>
    <col min="2576" max="2579" width="8.88671875" style="383"/>
    <col min="2580" max="2580" width="9.77734375" style="383" bestFit="1" customWidth="1"/>
    <col min="2581" max="2581" width="9.5546875" style="383" customWidth="1"/>
    <col min="2582" max="2582" width="8.88671875" style="383"/>
    <col min="2583" max="2583" width="9.5546875" style="383" bestFit="1" customWidth="1"/>
    <col min="2584" max="2584" width="12.109375" style="383" customWidth="1"/>
    <col min="2585" max="2585" width="8.88671875" style="383"/>
    <col min="2586" max="2586" width="10.109375" style="383" customWidth="1"/>
    <col min="2587" max="2820" width="8.88671875" style="383"/>
    <col min="2821" max="2821" width="11.6640625" style="383" customWidth="1"/>
    <col min="2822" max="2830" width="8.88671875" style="383"/>
    <col min="2831" max="2831" width="12.21875" style="383" customWidth="1"/>
    <col min="2832" max="2835" width="8.88671875" style="383"/>
    <col min="2836" max="2836" width="9.77734375" style="383" bestFit="1" customWidth="1"/>
    <col min="2837" max="2837" width="9.5546875" style="383" customWidth="1"/>
    <col min="2838" max="2838" width="8.88671875" style="383"/>
    <col min="2839" max="2839" width="9.5546875" style="383" bestFit="1" customWidth="1"/>
    <col min="2840" max="2840" width="12.109375" style="383" customWidth="1"/>
    <col min="2841" max="2841" width="8.88671875" style="383"/>
    <col min="2842" max="2842" width="10.109375" style="383" customWidth="1"/>
    <col min="2843" max="3076" width="8.88671875" style="383"/>
    <col min="3077" max="3077" width="11.6640625" style="383" customWidth="1"/>
    <col min="3078" max="3086" width="8.88671875" style="383"/>
    <col min="3087" max="3087" width="12.21875" style="383" customWidth="1"/>
    <col min="3088" max="3091" width="8.88671875" style="383"/>
    <col min="3092" max="3092" width="9.77734375" style="383" bestFit="1" customWidth="1"/>
    <col min="3093" max="3093" width="9.5546875" style="383" customWidth="1"/>
    <col min="3094" max="3094" width="8.88671875" style="383"/>
    <col min="3095" max="3095" width="9.5546875" style="383" bestFit="1" customWidth="1"/>
    <col min="3096" max="3096" width="12.109375" style="383" customWidth="1"/>
    <col min="3097" max="3097" width="8.88671875" style="383"/>
    <col min="3098" max="3098" width="10.109375" style="383" customWidth="1"/>
    <col min="3099" max="3332" width="8.88671875" style="383"/>
    <col min="3333" max="3333" width="11.6640625" style="383" customWidth="1"/>
    <col min="3334" max="3342" width="8.88671875" style="383"/>
    <col min="3343" max="3343" width="12.21875" style="383" customWidth="1"/>
    <col min="3344" max="3347" width="8.88671875" style="383"/>
    <col min="3348" max="3348" width="9.77734375" style="383" bestFit="1" customWidth="1"/>
    <col min="3349" max="3349" width="9.5546875" style="383" customWidth="1"/>
    <col min="3350" max="3350" width="8.88671875" style="383"/>
    <col min="3351" max="3351" width="9.5546875" style="383" bestFit="1" customWidth="1"/>
    <col min="3352" max="3352" width="12.109375" style="383" customWidth="1"/>
    <col min="3353" max="3353" width="8.88671875" style="383"/>
    <col min="3354" max="3354" width="10.109375" style="383" customWidth="1"/>
    <col min="3355" max="3588" width="8.88671875" style="383"/>
    <col min="3589" max="3589" width="11.6640625" style="383" customWidth="1"/>
    <col min="3590" max="3598" width="8.88671875" style="383"/>
    <col min="3599" max="3599" width="12.21875" style="383" customWidth="1"/>
    <col min="3600" max="3603" width="8.88671875" style="383"/>
    <col min="3604" max="3604" width="9.77734375" style="383" bestFit="1" customWidth="1"/>
    <col min="3605" max="3605" width="9.5546875" style="383" customWidth="1"/>
    <col min="3606" max="3606" width="8.88671875" style="383"/>
    <col min="3607" max="3607" width="9.5546875" style="383" bestFit="1" customWidth="1"/>
    <col min="3608" max="3608" width="12.109375" style="383" customWidth="1"/>
    <col min="3609" max="3609" width="8.88671875" style="383"/>
    <col min="3610" max="3610" width="10.109375" style="383" customWidth="1"/>
    <col min="3611" max="3844" width="8.88671875" style="383"/>
    <col min="3845" max="3845" width="11.6640625" style="383" customWidth="1"/>
    <col min="3846" max="3854" width="8.88671875" style="383"/>
    <col min="3855" max="3855" width="12.21875" style="383" customWidth="1"/>
    <col min="3856" max="3859" width="8.88671875" style="383"/>
    <col min="3860" max="3860" width="9.77734375" style="383" bestFit="1" customWidth="1"/>
    <col min="3861" max="3861" width="9.5546875" style="383" customWidth="1"/>
    <col min="3862" max="3862" width="8.88671875" style="383"/>
    <col min="3863" max="3863" width="9.5546875" style="383" bestFit="1" customWidth="1"/>
    <col min="3864" max="3864" width="12.109375" style="383" customWidth="1"/>
    <col min="3865" max="3865" width="8.88671875" style="383"/>
    <col min="3866" max="3866" width="10.109375" style="383" customWidth="1"/>
    <col min="3867" max="4100" width="8.88671875" style="383"/>
    <col min="4101" max="4101" width="11.6640625" style="383" customWidth="1"/>
    <col min="4102" max="4110" width="8.88671875" style="383"/>
    <col min="4111" max="4111" width="12.21875" style="383" customWidth="1"/>
    <col min="4112" max="4115" width="8.88671875" style="383"/>
    <col min="4116" max="4116" width="9.77734375" style="383" bestFit="1" customWidth="1"/>
    <col min="4117" max="4117" width="9.5546875" style="383" customWidth="1"/>
    <col min="4118" max="4118" width="8.88671875" style="383"/>
    <col min="4119" max="4119" width="9.5546875" style="383" bestFit="1" customWidth="1"/>
    <col min="4120" max="4120" width="12.109375" style="383" customWidth="1"/>
    <col min="4121" max="4121" width="8.88671875" style="383"/>
    <col min="4122" max="4122" width="10.109375" style="383" customWidth="1"/>
    <col min="4123" max="4356" width="8.88671875" style="383"/>
    <col min="4357" max="4357" width="11.6640625" style="383" customWidth="1"/>
    <col min="4358" max="4366" width="8.88671875" style="383"/>
    <col min="4367" max="4367" width="12.21875" style="383" customWidth="1"/>
    <col min="4368" max="4371" width="8.88671875" style="383"/>
    <col min="4372" max="4372" width="9.77734375" style="383" bestFit="1" customWidth="1"/>
    <col min="4373" max="4373" width="9.5546875" style="383" customWidth="1"/>
    <col min="4374" max="4374" width="8.88671875" style="383"/>
    <col min="4375" max="4375" width="9.5546875" style="383" bestFit="1" customWidth="1"/>
    <col min="4376" max="4376" width="12.109375" style="383" customWidth="1"/>
    <col min="4377" max="4377" width="8.88671875" style="383"/>
    <col min="4378" max="4378" width="10.109375" style="383" customWidth="1"/>
    <col min="4379" max="4612" width="8.88671875" style="383"/>
    <col min="4613" max="4613" width="11.6640625" style="383" customWidth="1"/>
    <col min="4614" max="4622" width="8.88671875" style="383"/>
    <col min="4623" max="4623" width="12.21875" style="383" customWidth="1"/>
    <col min="4624" max="4627" width="8.88671875" style="383"/>
    <col min="4628" max="4628" width="9.77734375" style="383" bestFit="1" customWidth="1"/>
    <col min="4629" max="4629" width="9.5546875" style="383" customWidth="1"/>
    <col min="4630" max="4630" width="8.88671875" style="383"/>
    <col min="4631" max="4631" width="9.5546875" style="383" bestFit="1" customWidth="1"/>
    <col min="4632" max="4632" width="12.109375" style="383" customWidth="1"/>
    <col min="4633" max="4633" width="8.88671875" style="383"/>
    <col min="4634" max="4634" width="10.109375" style="383" customWidth="1"/>
    <col min="4635" max="4868" width="8.88671875" style="383"/>
    <col min="4869" max="4869" width="11.6640625" style="383" customWidth="1"/>
    <col min="4870" max="4878" width="8.88671875" style="383"/>
    <col min="4879" max="4879" width="12.21875" style="383" customWidth="1"/>
    <col min="4880" max="4883" width="8.88671875" style="383"/>
    <col min="4884" max="4884" width="9.77734375" style="383" bestFit="1" customWidth="1"/>
    <col min="4885" max="4885" width="9.5546875" style="383" customWidth="1"/>
    <col min="4886" max="4886" width="8.88671875" style="383"/>
    <col min="4887" max="4887" width="9.5546875" style="383" bestFit="1" customWidth="1"/>
    <col min="4888" max="4888" width="12.109375" style="383" customWidth="1"/>
    <col min="4889" max="4889" width="8.88671875" style="383"/>
    <col min="4890" max="4890" width="10.109375" style="383" customWidth="1"/>
    <col min="4891" max="5124" width="8.88671875" style="383"/>
    <col min="5125" max="5125" width="11.6640625" style="383" customWidth="1"/>
    <col min="5126" max="5134" width="8.88671875" style="383"/>
    <col min="5135" max="5135" width="12.21875" style="383" customWidth="1"/>
    <col min="5136" max="5139" width="8.88671875" style="383"/>
    <col min="5140" max="5140" width="9.77734375" style="383" bestFit="1" customWidth="1"/>
    <col min="5141" max="5141" width="9.5546875" style="383" customWidth="1"/>
    <col min="5142" max="5142" width="8.88671875" style="383"/>
    <col min="5143" max="5143" width="9.5546875" style="383" bestFit="1" customWidth="1"/>
    <col min="5144" max="5144" width="12.109375" style="383" customWidth="1"/>
    <col min="5145" max="5145" width="8.88671875" style="383"/>
    <col min="5146" max="5146" width="10.109375" style="383" customWidth="1"/>
    <col min="5147" max="5380" width="8.88671875" style="383"/>
    <col min="5381" max="5381" width="11.6640625" style="383" customWidth="1"/>
    <col min="5382" max="5390" width="8.88671875" style="383"/>
    <col min="5391" max="5391" width="12.21875" style="383" customWidth="1"/>
    <col min="5392" max="5395" width="8.88671875" style="383"/>
    <col min="5396" max="5396" width="9.77734375" style="383" bestFit="1" customWidth="1"/>
    <col min="5397" max="5397" width="9.5546875" style="383" customWidth="1"/>
    <col min="5398" max="5398" width="8.88671875" style="383"/>
    <col min="5399" max="5399" width="9.5546875" style="383" bestFit="1" customWidth="1"/>
    <col min="5400" max="5400" width="12.109375" style="383" customWidth="1"/>
    <col min="5401" max="5401" width="8.88671875" style="383"/>
    <col min="5402" max="5402" width="10.109375" style="383" customWidth="1"/>
    <col min="5403" max="5636" width="8.88671875" style="383"/>
    <col min="5637" max="5637" width="11.6640625" style="383" customWidth="1"/>
    <col min="5638" max="5646" width="8.88671875" style="383"/>
    <col min="5647" max="5647" width="12.21875" style="383" customWidth="1"/>
    <col min="5648" max="5651" width="8.88671875" style="383"/>
    <col min="5652" max="5652" width="9.77734375" style="383" bestFit="1" customWidth="1"/>
    <col min="5653" max="5653" width="9.5546875" style="383" customWidth="1"/>
    <col min="5654" max="5654" width="8.88671875" style="383"/>
    <col min="5655" max="5655" width="9.5546875" style="383" bestFit="1" customWidth="1"/>
    <col min="5656" max="5656" width="12.109375" style="383" customWidth="1"/>
    <col min="5657" max="5657" width="8.88671875" style="383"/>
    <col min="5658" max="5658" width="10.109375" style="383" customWidth="1"/>
    <col min="5659" max="5892" width="8.88671875" style="383"/>
    <col min="5893" max="5893" width="11.6640625" style="383" customWidth="1"/>
    <col min="5894" max="5902" width="8.88671875" style="383"/>
    <col min="5903" max="5903" width="12.21875" style="383" customWidth="1"/>
    <col min="5904" max="5907" width="8.88671875" style="383"/>
    <col min="5908" max="5908" width="9.77734375" style="383" bestFit="1" customWidth="1"/>
    <col min="5909" max="5909" width="9.5546875" style="383" customWidth="1"/>
    <col min="5910" max="5910" width="8.88671875" style="383"/>
    <col min="5911" max="5911" width="9.5546875" style="383" bestFit="1" customWidth="1"/>
    <col min="5912" max="5912" width="12.109375" style="383" customWidth="1"/>
    <col min="5913" max="5913" width="8.88671875" style="383"/>
    <col min="5914" max="5914" width="10.109375" style="383" customWidth="1"/>
    <col min="5915" max="6148" width="8.88671875" style="383"/>
    <col min="6149" max="6149" width="11.6640625" style="383" customWidth="1"/>
    <col min="6150" max="6158" width="8.88671875" style="383"/>
    <col min="6159" max="6159" width="12.21875" style="383" customWidth="1"/>
    <col min="6160" max="6163" width="8.88671875" style="383"/>
    <col min="6164" max="6164" width="9.77734375" style="383" bestFit="1" customWidth="1"/>
    <col min="6165" max="6165" width="9.5546875" style="383" customWidth="1"/>
    <col min="6166" max="6166" width="8.88671875" style="383"/>
    <col min="6167" max="6167" width="9.5546875" style="383" bestFit="1" customWidth="1"/>
    <col min="6168" max="6168" width="12.109375" style="383" customWidth="1"/>
    <col min="6169" max="6169" width="8.88671875" style="383"/>
    <col min="6170" max="6170" width="10.109375" style="383" customWidth="1"/>
    <col min="6171" max="6404" width="8.88671875" style="383"/>
    <col min="6405" max="6405" width="11.6640625" style="383" customWidth="1"/>
    <col min="6406" max="6414" width="8.88671875" style="383"/>
    <col min="6415" max="6415" width="12.21875" style="383" customWidth="1"/>
    <col min="6416" max="6419" width="8.88671875" style="383"/>
    <col min="6420" max="6420" width="9.77734375" style="383" bestFit="1" customWidth="1"/>
    <col min="6421" max="6421" width="9.5546875" style="383" customWidth="1"/>
    <col min="6422" max="6422" width="8.88671875" style="383"/>
    <col min="6423" max="6423" width="9.5546875" style="383" bestFit="1" customWidth="1"/>
    <col min="6424" max="6424" width="12.109375" style="383" customWidth="1"/>
    <col min="6425" max="6425" width="8.88671875" style="383"/>
    <col min="6426" max="6426" width="10.109375" style="383" customWidth="1"/>
    <col min="6427" max="6660" width="8.88671875" style="383"/>
    <col min="6661" max="6661" width="11.6640625" style="383" customWidth="1"/>
    <col min="6662" max="6670" width="8.88671875" style="383"/>
    <col min="6671" max="6671" width="12.21875" style="383" customWidth="1"/>
    <col min="6672" max="6675" width="8.88671875" style="383"/>
    <col min="6676" max="6676" width="9.77734375" style="383" bestFit="1" customWidth="1"/>
    <col min="6677" max="6677" width="9.5546875" style="383" customWidth="1"/>
    <col min="6678" max="6678" width="8.88671875" style="383"/>
    <col min="6679" max="6679" width="9.5546875" style="383" bestFit="1" customWidth="1"/>
    <col min="6680" max="6680" width="12.109375" style="383" customWidth="1"/>
    <col min="6681" max="6681" width="8.88671875" style="383"/>
    <col min="6682" max="6682" width="10.109375" style="383" customWidth="1"/>
    <col min="6683" max="6916" width="8.88671875" style="383"/>
    <col min="6917" max="6917" width="11.6640625" style="383" customWidth="1"/>
    <col min="6918" max="6926" width="8.88671875" style="383"/>
    <col min="6927" max="6927" width="12.21875" style="383" customWidth="1"/>
    <col min="6928" max="6931" width="8.88671875" style="383"/>
    <col min="6932" max="6932" width="9.77734375" style="383" bestFit="1" customWidth="1"/>
    <col min="6933" max="6933" width="9.5546875" style="383" customWidth="1"/>
    <col min="6934" max="6934" width="8.88671875" style="383"/>
    <col min="6935" max="6935" width="9.5546875" style="383" bestFit="1" customWidth="1"/>
    <col min="6936" max="6936" width="12.109375" style="383" customWidth="1"/>
    <col min="6937" max="6937" width="8.88671875" style="383"/>
    <col min="6938" max="6938" width="10.109375" style="383" customWidth="1"/>
    <col min="6939" max="7172" width="8.88671875" style="383"/>
    <col min="7173" max="7173" width="11.6640625" style="383" customWidth="1"/>
    <col min="7174" max="7182" width="8.88671875" style="383"/>
    <col min="7183" max="7183" width="12.21875" style="383" customWidth="1"/>
    <col min="7184" max="7187" width="8.88671875" style="383"/>
    <col min="7188" max="7188" width="9.77734375" style="383" bestFit="1" customWidth="1"/>
    <col min="7189" max="7189" width="9.5546875" style="383" customWidth="1"/>
    <col min="7190" max="7190" width="8.88671875" style="383"/>
    <col min="7191" max="7191" width="9.5546875" style="383" bestFit="1" customWidth="1"/>
    <col min="7192" max="7192" width="12.109375" style="383" customWidth="1"/>
    <col min="7193" max="7193" width="8.88671875" style="383"/>
    <col min="7194" max="7194" width="10.109375" style="383" customWidth="1"/>
    <col min="7195" max="7428" width="8.88671875" style="383"/>
    <col min="7429" max="7429" width="11.6640625" style="383" customWidth="1"/>
    <col min="7430" max="7438" width="8.88671875" style="383"/>
    <col min="7439" max="7439" width="12.21875" style="383" customWidth="1"/>
    <col min="7440" max="7443" width="8.88671875" style="383"/>
    <col min="7444" max="7444" width="9.77734375" style="383" bestFit="1" customWidth="1"/>
    <col min="7445" max="7445" width="9.5546875" style="383" customWidth="1"/>
    <col min="7446" max="7446" width="8.88671875" style="383"/>
    <col min="7447" max="7447" width="9.5546875" style="383" bestFit="1" customWidth="1"/>
    <col min="7448" max="7448" width="12.109375" style="383" customWidth="1"/>
    <col min="7449" max="7449" width="8.88671875" style="383"/>
    <col min="7450" max="7450" width="10.109375" style="383" customWidth="1"/>
    <col min="7451" max="7684" width="8.88671875" style="383"/>
    <col min="7685" max="7685" width="11.6640625" style="383" customWidth="1"/>
    <col min="7686" max="7694" width="8.88671875" style="383"/>
    <col min="7695" max="7695" width="12.21875" style="383" customWidth="1"/>
    <col min="7696" max="7699" width="8.88671875" style="383"/>
    <col min="7700" max="7700" width="9.77734375" style="383" bestFit="1" customWidth="1"/>
    <col min="7701" max="7701" width="9.5546875" style="383" customWidth="1"/>
    <col min="7702" max="7702" width="8.88671875" style="383"/>
    <col min="7703" max="7703" width="9.5546875" style="383" bestFit="1" customWidth="1"/>
    <col min="7704" max="7704" width="12.109375" style="383" customWidth="1"/>
    <col min="7705" max="7705" width="8.88671875" style="383"/>
    <col min="7706" max="7706" width="10.109375" style="383" customWidth="1"/>
    <col min="7707" max="7940" width="8.88671875" style="383"/>
    <col min="7941" max="7941" width="11.6640625" style="383" customWidth="1"/>
    <col min="7942" max="7950" width="8.88671875" style="383"/>
    <col min="7951" max="7951" width="12.21875" style="383" customWidth="1"/>
    <col min="7952" max="7955" width="8.88671875" style="383"/>
    <col min="7956" max="7956" width="9.77734375" style="383" bestFit="1" customWidth="1"/>
    <col min="7957" max="7957" width="9.5546875" style="383" customWidth="1"/>
    <col min="7958" max="7958" width="8.88671875" style="383"/>
    <col min="7959" max="7959" width="9.5546875" style="383" bestFit="1" customWidth="1"/>
    <col min="7960" max="7960" width="12.109375" style="383" customWidth="1"/>
    <col min="7961" max="7961" width="8.88671875" style="383"/>
    <col min="7962" max="7962" width="10.109375" style="383" customWidth="1"/>
    <col min="7963" max="8196" width="8.88671875" style="383"/>
    <col min="8197" max="8197" width="11.6640625" style="383" customWidth="1"/>
    <col min="8198" max="8206" width="8.88671875" style="383"/>
    <col min="8207" max="8207" width="12.21875" style="383" customWidth="1"/>
    <col min="8208" max="8211" width="8.88671875" style="383"/>
    <col min="8212" max="8212" width="9.77734375" style="383" bestFit="1" customWidth="1"/>
    <col min="8213" max="8213" width="9.5546875" style="383" customWidth="1"/>
    <col min="8214" max="8214" width="8.88671875" style="383"/>
    <col min="8215" max="8215" width="9.5546875" style="383" bestFit="1" customWidth="1"/>
    <col min="8216" max="8216" width="12.109375" style="383" customWidth="1"/>
    <col min="8217" max="8217" width="8.88671875" style="383"/>
    <col min="8218" max="8218" width="10.109375" style="383" customWidth="1"/>
    <col min="8219" max="8452" width="8.88671875" style="383"/>
    <col min="8453" max="8453" width="11.6640625" style="383" customWidth="1"/>
    <col min="8454" max="8462" width="8.88671875" style="383"/>
    <col min="8463" max="8463" width="12.21875" style="383" customWidth="1"/>
    <col min="8464" max="8467" width="8.88671875" style="383"/>
    <col min="8468" max="8468" width="9.77734375" style="383" bestFit="1" customWidth="1"/>
    <col min="8469" max="8469" width="9.5546875" style="383" customWidth="1"/>
    <col min="8470" max="8470" width="8.88671875" style="383"/>
    <col min="8471" max="8471" width="9.5546875" style="383" bestFit="1" customWidth="1"/>
    <col min="8472" max="8472" width="12.109375" style="383" customWidth="1"/>
    <col min="8473" max="8473" width="8.88671875" style="383"/>
    <col min="8474" max="8474" width="10.109375" style="383" customWidth="1"/>
    <col min="8475" max="8708" width="8.88671875" style="383"/>
    <col min="8709" max="8709" width="11.6640625" style="383" customWidth="1"/>
    <col min="8710" max="8718" width="8.88671875" style="383"/>
    <col min="8719" max="8719" width="12.21875" style="383" customWidth="1"/>
    <col min="8720" max="8723" width="8.88671875" style="383"/>
    <col min="8724" max="8724" width="9.77734375" style="383" bestFit="1" customWidth="1"/>
    <col min="8725" max="8725" width="9.5546875" style="383" customWidth="1"/>
    <col min="8726" max="8726" width="8.88671875" style="383"/>
    <col min="8727" max="8727" width="9.5546875" style="383" bestFit="1" customWidth="1"/>
    <col min="8728" max="8728" width="12.109375" style="383" customWidth="1"/>
    <col min="8729" max="8729" width="8.88671875" style="383"/>
    <col min="8730" max="8730" width="10.109375" style="383" customWidth="1"/>
    <col min="8731" max="8964" width="8.88671875" style="383"/>
    <col min="8965" max="8965" width="11.6640625" style="383" customWidth="1"/>
    <col min="8966" max="8974" width="8.88671875" style="383"/>
    <col min="8975" max="8975" width="12.21875" style="383" customWidth="1"/>
    <col min="8976" max="8979" width="8.88671875" style="383"/>
    <col min="8980" max="8980" width="9.77734375" style="383" bestFit="1" customWidth="1"/>
    <col min="8981" max="8981" width="9.5546875" style="383" customWidth="1"/>
    <col min="8982" max="8982" width="8.88671875" style="383"/>
    <col min="8983" max="8983" width="9.5546875" style="383" bestFit="1" customWidth="1"/>
    <col min="8984" max="8984" width="12.109375" style="383" customWidth="1"/>
    <col min="8985" max="8985" width="8.88671875" style="383"/>
    <col min="8986" max="8986" width="10.109375" style="383" customWidth="1"/>
    <col min="8987" max="9220" width="8.88671875" style="383"/>
    <col min="9221" max="9221" width="11.6640625" style="383" customWidth="1"/>
    <col min="9222" max="9230" width="8.88671875" style="383"/>
    <col min="9231" max="9231" width="12.21875" style="383" customWidth="1"/>
    <col min="9232" max="9235" width="8.88671875" style="383"/>
    <col min="9236" max="9236" width="9.77734375" style="383" bestFit="1" customWidth="1"/>
    <col min="9237" max="9237" width="9.5546875" style="383" customWidth="1"/>
    <col min="9238" max="9238" width="8.88671875" style="383"/>
    <col min="9239" max="9239" width="9.5546875" style="383" bestFit="1" customWidth="1"/>
    <col min="9240" max="9240" width="12.109375" style="383" customWidth="1"/>
    <col min="9241" max="9241" width="8.88671875" style="383"/>
    <col min="9242" max="9242" width="10.109375" style="383" customWidth="1"/>
    <col min="9243" max="9476" width="8.88671875" style="383"/>
    <col min="9477" max="9477" width="11.6640625" style="383" customWidth="1"/>
    <col min="9478" max="9486" width="8.88671875" style="383"/>
    <col min="9487" max="9487" width="12.21875" style="383" customWidth="1"/>
    <col min="9488" max="9491" width="8.88671875" style="383"/>
    <col min="9492" max="9492" width="9.77734375" style="383" bestFit="1" customWidth="1"/>
    <col min="9493" max="9493" width="9.5546875" style="383" customWidth="1"/>
    <col min="9494" max="9494" width="8.88671875" style="383"/>
    <col min="9495" max="9495" width="9.5546875" style="383" bestFit="1" customWidth="1"/>
    <col min="9496" max="9496" width="12.109375" style="383" customWidth="1"/>
    <col min="9497" max="9497" width="8.88671875" style="383"/>
    <col min="9498" max="9498" width="10.109375" style="383" customWidth="1"/>
    <col min="9499" max="9732" width="8.88671875" style="383"/>
    <col min="9733" max="9733" width="11.6640625" style="383" customWidth="1"/>
    <col min="9734" max="9742" width="8.88671875" style="383"/>
    <col min="9743" max="9743" width="12.21875" style="383" customWidth="1"/>
    <col min="9744" max="9747" width="8.88671875" style="383"/>
    <col min="9748" max="9748" width="9.77734375" style="383" bestFit="1" customWidth="1"/>
    <col min="9749" max="9749" width="9.5546875" style="383" customWidth="1"/>
    <col min="9750" max="9750" width="8.88671875" style="383"/>
    <col min="9751" max="9751" width="9.5546875" style="383" bestFit="1" customWidth="1"/>
    <col min="9752" max="9752" width="12.109375" style="383" customWidth="1"/>
    <col min="9753" max="9753" width="8.88671875" style="383"/>
    <col min="9754" max="9754" width="10.109375" style="383" customWidth="1"/>
    <col min="9755" max="9988" width="8.88671875" style="383"/>
    <col min="9989" max="9989" width="11.6640625" style="383" customWidth="1"/>
    <col min="9990" max="9998" width="8.88671875" style="383"/>
    <col min="9999" max="9999" width="12.21875" style="383" customWidth="1"/>
    <col min="10000" max="10003" width="8.88671875" style="383"/>
    <col min="10004" max="10004" width="9.77734375" style="383" bestFit="1" customWidth="1"/>
    <col min="10005" max="10005" width="9.5546875" style="383" customWidth="1"/>
    <col min="10006" max="10006" width="8.88671875" style="383"/>
    <col min="10007" max="10007" width="9.5546875" style="383" bestFit="1" customWidth="1"/>
    <col min="10008" max="10008" width="12.109375" style="383" customWidth="1"/>
    <col min="10009" max="10009" width="8.88671875" style="383"/>
    <col min="10010" max="10010" width="10.109375" style="383" customWidth="1"/>
    <col min="10011" max="10244" width="8.88671875" style="383"/>
    <col min="10245" max="10245" width="11.6640625" style="383" customWidth="1"/>
    <col min="10246" max="10254" width="8.88671875" style="383"/>
    <col min="10255" max="10255" width="12.21875" style="383" customWidth="1"/>
    <col min="10256" max="10259" width="8.88671875" style="383"/>
    <col min="10260" max="10260" width="9.77734375" style="383" bestFit="1" customWidth="1"/>
    <col min="10261" max="10261" width="9.5546875" style="383" customWidth="1"/>
    <col min="10262" max="10262" width="8.88671875" style="383"/>
    <col min="10263" max="10263" width="9.5546875" style="383" bestFit="1" customWidth="1"/>
    <col min="10264" max="10264" width="12.109375" style="383" customWidth="1"/>
    <col min="10265" max="10265" width="8.88671875" style="383"/>
    <col min="10266" max="10266" width="10.109375" style="383" customWidth="1"/>
    <col min="10267" max="10500" width="8.88671875" style="383"/>
    <col min="10501" max="10501" width="11.6640625" style="383" customWidth="1"/>
    <col min="10502" max="10510" width="8.88671875" style="383"/>
    <col min="10511" max="10511" width="12.21875" style="383" customWidth="1"/>
    <col min="10512" max="10515" width="8.88671875" style="383"/>
    <col min="10516" max="10516" width="9.77734375" style="383" bestFit="1" customWidth="1"/>
    <col min="10517" max="10517" width="9.5546875" style="383" customWidth="1"/>
    <col min="10518" max="10518" width="8.88671875" style="383"/>
    <col min="10519" max="10519" width="9.5546875" style="383" bestFit="1" customWidth="1"/>
    <col min="10520" max="10520" width="12.109375" style="383" customWidth="1"/>
    <col min="10521" max="10521" width="8.88671875" style="383"/>
    <col min="10522" max="10522" width="10.109375" style="383" customWidth="1"/>
    <col min="10523" max="10756" width="8.88671875" style="383"/>
    <col min="10757" max="10757" width="11.6640625" style="383" customWidth="1"/>
    <col min="10758" max="10766" width="8.88671875" style="383"/>
    <col min="10767" max="10767" width="12.21875" style="383" customWidth="1"/>
    <col min="10768" max="10771" width="8.88671875" style="383"/>
    <col min="10772" max="10772" width="9.77734375" style="383" bestFit="1" customWidth="1"/>
    <col min="10773" max="10773" width="9.5546875" style="383" customWidth="1"/>
    <col min="10774" max="10774" width="8.88671875" style="383"/>
    <col min="10775" max="10775" width="9.5546875" style="383" bestFit="1" customWidth="1"/>
    <col min="10776" max="10776" width="12.109375" style="383" customWidth="1"/>
    <col min="10777" max="10777" width="8.88671875" style="383"/>
    <col min="10778" max="10778" width="10.109375" style="383" customWidth="1"/>
    <col min="10779" max="11012" width="8.88671875" style="383"/>
    <col min="11013" max="11013" width="11.6640625" style="383" customWidth="1"/>
    <col min="11014" max="11022" width="8.88671875" style="383"/>
    <col min="11023" max="11023" width="12.21875" style="383" customWidth="1"/>
    <col min="11024" max="11027" width="8.88671875" style="383"/>
    <col min="11028" max="11028" width="9.77734375" style="383" bestFit="1" customWidth="1"/>
    <col min="11029" max="11029" width="9.5546875" style="383" customWidth="1"/>
    <col min="11030" max="11030" width="8.88671875" style="383"/>
    <col min="11031" max="11031" width="9.5546875" style="383" bestFit="1" customWidth="1"/>
    <col min="11032" max="11032" width="12.109375" style="383" customWidth="1"/>
    <col min="11033" max="11033" width="8.88671875" style="383"/>
    <col min="11034" max="11034" width="10.109375" style="383" customWidth="1"/>
    <col min="11035" max="11268" width="8.88671875" style="383"/>
    <col min="11269" max="11269" width="11.6640625" style="383" customWidth="1"/>
    <col min="11270" max="11278" width="8.88671875" style="383"/>
    <col min="11279" max="11279" width="12.21875" style="383" customWidth="1"/>
    <col min="11280" max="11283" width="8.88671875" style="383"/>
    <col min="11284" max="11284" width="9.77734375" style="383" bestFit="1" customWidth="1"/>
    <col min="11285" max="11285" width="9.5546875" style="383" customWidth="1"/>
    <col min="11286" max="11286" width="8.88671875" style="383"/>
    <col min="11287" max="11287" width="9.5546875" style="383" bestFit="1" customWidth="1"/>
    <col min="11288" max="11288" width="12.109375" style="383" customWidth="1"/>
    <col min="11289" max="11289" width="8.88671875" style="383"/>
    <col min="11290" max="11290" width="10.109375" style="383" customWidth="1"/>
    <col min="11291" max="11524" width="8.88671875" style="383"/>
    <col min="11525" max="11525" width="11.6640625" style="383" customWidth="1"/>
    <col min="11526" max="11534" width="8.88671875" style="383"/>
    <col min="11535" max="11535" width="12.21875" style="383" customWidth="1"/>
    <col min="11536" max="11539" width="8.88671875" style="383"/>
    <col min="11540" max="11540" width="9.77734375" style="383" bestFit="1" customWidth="1"/>
    <col min="11541" max="11541" width="9.5546875" style="383" customWidth="1"/>
    <col min="11542" max="11542" width="8.88671875" style="383"/>
    <col min="11543" max="11543" width="9.5546875" style="383" bestFit="1" customWidth="1"/>
    <col min="11544" max="11544" width="12.109375" style="383" customWidth="1"/>
    <col min="11545" max="11545" width="8.88671875" style="383"/>
    <col min="11546" max="11546" width="10.109375" style="383" customWidth="1"/>
    <col min="11547" max="11780" width="8.88671875" style="383"/>
    <col min="11781" max="11781" width="11.6640625" style="383" customWidth="1"/>
    <col min="11782" max="11790" width="8.88671875" style="383"/>
    <col min="11791" max="11791" width="12.21875" style="383" customWidth="1"/>
    <col min="11792" max="11795" width="8.88671875" style="383"/>
    <col min="11796" max="11796" width="9.77734375" style="383" bestFit="1" customWidth="1"/>
    <col min="11797" max="11797" width="9.5546875" style="383" customWidth="1"/>
    <col min="11798" max="11798" width="8.88671875" style="383"/>
    <col min="11799" max="11799" width="9.5546875" style="383" bestFit="1" customWidth="1"/>
    <col min="11800" max="11800" width="12.109375" style="383" customWidth="1"/>
    <col min="11801" max="11801" width="8.88671875" style="383"/>
    <col min="11802" max="11802" width="10.109375" style="383" customWidth="1"/>
    <col min="11803" max="12036" width="8.88671875" style="383"/>
    <col min="12037" max="12037" width="11.6640625" style="383" customWidth="1"/>
    <col min="12038" max="12046" width="8.88671875" style="383"/>
    <col min="12047" max="12047" width="12.21875" style="383" customWidth="1"/>
    <col min="12048" max="12051" width="8.88671875" style="383"/>
    <col min="12052" max="12052" width="9.77734375" style="383" bestFit="1" customWidth="1"/>
    <col min="12053" max="12053" width="9.5546875" style="383" customWidth="1"/>
    <col min="12054" max="12054" width="8.88671875" style="383"/>
    <col min="12055" max="12055" width="9.5546875" style="383" bestFit="1" customWidth="1"/>
    <col min="12056" max="12056" width="12.109375" style="383" customWidth="1"/>
    <col min="12057" max="12057" width="8.88671875" style="383"/>
    <col min="12058" max="12058" width="10.109375" style="383" customWidth="1"/>
    <col min="12059" max="12292" width="8.88671875" style="383"/>
    <col min="12293" max="12293" width="11.6640625" style="383" customWidth="1"/>
    <col min="12294" max="12302" width="8.88671875" style="383"/>
    <col min="12303" max="12303" width="12.21875" style="383" customWidth="1"/>
    <col min="12304" max="12307" width="8.88671875" style="383"/>
    <col min="12308" max="12308" width="9.77734375" style="383" bestFit="1" customWidth="1"/>
    <col min="12309" max="12309" width="9.5546875" style="383" customWidth="1"/>
    <col min="12310" max="12310" width="8.88671875" style="383"/>
    <col min="12311" max="12311" width="9.5546875" style="383" bestFit="1" customWidth="1"/>
    <col min="12312" max="12312" width="12.109375" style="383" customWidth="1"/>
    <col min="12313" max="12313" width="8.88671875" style="383"/>
    <col min="12314" max="12314" width="10.109375" style="383" customWidth="1"/>
    <col min="12315" max="12548" width="8.88671875" style="383"/>
    <col min="12549" max="12549" width="11.6640625" style="383" customWidth="1"/>
    <col min="12550" max="12558" width="8.88671875" style="383"/>
    <col min="12559" max="12559" width="12.21875" style="383" customWidth="1"/>
    <col min="12560" max="12563" width="8.88671875" style="383"/>
    <col min="12564" max="12564" width="9.77734375" style="383" bestFit="1" customWidth="1"/>
    <col min="12565" max="12565" width="9.5546875" style="383" customWidth="1"/>
    <col min="12566" max="12566" width="8.88671875" style="383"/>
    <col min="12567" max="12567" width="9.5546875" style="383" bestFit="1" customWidth="1"/>
    <col min="12568" max="12568" width="12.109375" style="383" customWidth="1"/>
    <col min="12569" max="12569" width="8.88671875" style="383"/>
    <col min="12570" max="12570" width="10.109375" style="383" customWidth="1"/>
    <col min="12571" max="12804" width="8.88671875" style="383"/>
    <col min="12805" max="12805" width="11.6640625" style="383" customWidth="1"/>
    <col min="12806" max="12814" width="8.88671875" style="383"/>
    <col min="12815" max="12815" width="12.21875" style="383" customWidth="1"/>
    <col min="12816" max="12819" width="8.88671875" style="383"/>
    <col min="12820" max="12820" width="9.77734375" style="383" bestFit="1" customWidth="1"/>
    <col min="12821" max="12821" width="9.5546875" style="383" customWidth="1"/>
    <col min="12822" max="12822" width="8.88671875" style="383"/>
    <col min="12823" max="12823" width="9.5546875" style="383" bestFit="1" customWidth="1"/>
    <col min="12824" max="12824" width="12.109375" style="383" customWidth="1"/>
    <col min="12825" max="12825" width="8.88671875" style="383"/>
    <col min="12826" max="12826" width="10.109375" style="383" customWidth="1"/>
    <col min="12827" max="13060" width="8.88671875" style="383"/>
    <col min="13061" max="13061" width="11.6640625" style="383" customWidth="1"/>
    <col min="13062" max="13070" width="8.88671875" style="383"/>
    <col min="13071" max="13071" width="12.21875" style="383" customWidth="1"/>
    <col min="13072" max="13075" width="8.88671875" style="383"/>
    <col min="13076" max="13076" width="9.77734375" style="383" bestFit="1" customWidth="1"/>
    <col min="13077" max="13077" width="9.5546875" style="383" customWidth="1"/>
    <col min="13078" max="13078" width="8.88671875" style="383"/>
    <col min="13079" max="13079" width="9.5546875" style="383" bestFit="1" customWidth="1"/>
    <col min="13080" max="13080" width="12.109375" style="383" customWidth="1"/>
    <col min="13081" max="13081" width="8.88671875" style="383"/>
    <col min="13082" max="13082" width="10.109375" style="383" customWidth="1"/>
    <col min="13083" max="13316" width="8.88671875" style="383"/>
    <col min="13317" max="13317" width="11.6640625" style="383" customWidth="1"/>
    <col min="13318" max="13326" width="8.88671875" style="383"/>
    <col min="13327" max="13327" width="12.21875" style="383" customWidth="1"/>
    <col min="13328" max="13331" width="8.88671875" style="383"/>
    <col min="13332" max="13332" width="9.77734375" style="383" bestFit="1" customWidth="1"/>
    <col min="13333" max="13333" width="9.5546875" style="383" customWidth="1"/>
    <col min="13334" max="13334" width="8.88671875" style="383"/>
    <col min="13335" max="13335" width="9.5546875" style="383" bestFit="1" customWidth="1"/>
    <col min="13336" max="13336" width="12.109375" style="383" customWidth="1"/>
    <col min="13337" max="13337" width="8.88671875" style="383"/>
    <col min="13338" max="13338" width="10.109375" style="383" customWidth="1"/>
    <col min="13339" max="13572" width="8.88671875" style="383"/>
    <col min="13573" max="13573" width="11.6640625" style="383" customWidth="1"/>
    <col min="13574" max="13582" width="8.88671875" style="383"/>
    <col min="13583" max="13583" width="12.21875" style="383" customWidth="1"/>
    <col min="13584" max="13587" width="8.88671875" style="383"/>
    <col min="13588" max="13588" width="9.77734375" style="383" bestFit="1" customWidth="1"/>
    <col min="13589" max="13589" width="9.5546875" style="383" customWidth="1"/>
    <col min="13590" max="13590" width="8.88671875" style="383"/>
    <col min="13591" max="13591" width="9.5546875" style="383" bestFit="1" customWidth="1"/>
    <col min="13592" max="13592" width="12.109375" style="383" customWidth="1"/>
    <col min="13593" max="13593" width="8.88671875" style="383"/>
    <col min="13594" max="13594" width="10.109375" style="383" customWidth="1"/>
    <col min="13595" max="13828" width="8.88671875" style="383"/>
    <col min="13829" max="13829" width="11.6640625" style="383" customWidth="1"/>
    <col min="13830" max="13838" width="8.88671875" style="383"/>
    <col min="13839" max="13839" width="12.21875" style="383" customWidth="1"/>
    <col min="13840" max="13843" width="8.88671875" style="383"/>
    <col min="13844" max="13844" width="9.77734375" style="383" bestFit="1" customWidth="1"/>
    <col min="13845" max="13845" width="9.5546875" style="383" customWidth="1"/>
    <col min="13846" max="13846" width="8.88671875" style="383"/>
    <col min="13847" max="13847" width="9.5546875" style="383" bestFit="1" customWidth="1"/>
    <col min="13848" max="13848" width="12.109375" style="383" customWidth="1"/>
    <col min="13849" max="13849" width="8.88671875" style="383"/>
    <col min="13850" max="13850" width="10.109375" style="383" customWidth="1"/>
    <col min="13851" max="14084" width="8.88671875" style="383"/>
    <col min="14085" max="14085" width="11.6640625" style="383" customWidth="1"/>
    <col min="14086" max="14094" width="8.88671875" style="383"/>
    <col min="14095" max="14095" width="12.21875" style="383" customWidth="1"/>
    <col min="14096" max="14099" width="8.88671875" style="383"/>
    <col min="14100" max="14100" width="9.77734375" style="383" bestFit="1" customWidth="1"/>
    <col min="14101" max="14101" width="9.5546875" style="383" customWidth="1"/>
    <col min="14102" max="14102" width="8.88671875" style="383"/>
    <col min="14103" max="14103" width="9.5546875" style="383" bestFit="1" customWidth="1"/>
    <col min="14104" max="14104" width="12.109375" style="383" customWidth="1"/>
    <col min="14105" max="14105" width="8.88671875" style="383"/>
    <col min="14106" max="14106" width="10.109375" style="383" customWidth="1"/>
    <col min="14107" max="14340" width="8.88671875" style="383"/>
    <col min="14341" max="14341" width="11.6640625" style="383" customWidth="1"/>
    <col min="14342" max="14350" width="8.88671875" style="383"/>
    <col min="14351" max="14351" width="12.21875" style="383" customWidth="1"/>
    <col min="14352" max="14355" width="8.88671875" style="383"/>
    <col min="14356" max="14356" width="9.77734375" style="383" bestFit="1" customWidth="1"/>
    <col min="14357" max="14357" width="9.5546875" style="383" customWidth="1"/>
    <col min="14358" max="14358" width="8.88671875" style="383"/>
    <col min="14359" max="14359" width="9.5546875" style="383" bestFit="1" customWidth="1"/>
    <col min="14360" max="14360" width="12.109375" style="383" customWidth="1"/>
    <col min="14361" max="14361" width="8.88671875" style="383"/>
    <col min="14362" max="14362" width="10.109375" style="383" customWidth="1"/>
    <col min="14363" max="14596" width="8.88671875" style="383"/>
    <col min="14597" max="14597" width="11.6640625" style="383" customWidth="1"/>
    <col min="14598" max="14606" width="8.88671875" style="383"/>
    <col min="14607" max="14607" width="12.21875" style="383" customWidth="1"/>
    <col min="14608" max="14611" width="8.88671875" style="383"/>
    <col min="14612" max="14612" width="9.77734375" style="383" bestFit="1" customWidth="1"/>
    <col min="14613" max="14613" width="9.5546875" style="383" customWidth="1"/>
    <col min="14614" max="14614" width="8.88671875" style="383"/>
    <col min="14615" max="14615" width="9.5546875" style="383" bestFit="1" customWidth="1"/>
    <col min="14616" max="14616" width="12.109375" style="383" customWidth="1"/>
    <col min="14617" max="14617" width="8.88671875" style="383"/>
    <col min="14618" max="14618" width="10.109375" style="383" customWidth="1"/>
    <col min="14619" max="14852" width="8.88671875" style="383"/>
    <col min="14853" max="14853" width="11.6640625" style="383" customWidth="1"/>
    <col min="14854" max="14862" width="8.88671875" style="383"/>
    <col min="14863" max="14863" width="12.21875" style="383" customWidth="1"/>
    <col min="14864" max="14867" width="8.88671875" style="383"/>
    <col min="14868" max="14868" width="9.77734375" style="383" bestFit="1" customWidth="1"/>
    <col min="14869" max="14869" width="9.5546875" style="383" customWidth="1"/>
    <col min="14870" max="14870" width="8.88671875" style="383"/>
    <col min="14871" max="14871" width="9.5546875" style="383" bestFit="1" customWidth="1"/>
    <col min="14872" max="14872" width="12.109375" style="383" customWidth="1"/>
    <col min="14873" max="14873" width="8.88671875" style="383"/>
    <col min="14874" max="14874" width="10.109375" style="383" customWidth="1"/>
    <col min="14875" max="15108" width="8.88671875" style="383"/>
    <col min="15109" max="15109" width="11.6640625" style="383" customWidth="1"/>
    <col min="15110" max="15118" width="8.88671875" style="383"/>
    <col min="15119" max="15119" width="12.21875" style="383" customWidth="1"/>
    <col min="15120" max="15123" width="8.88671875" style="383"/>
    <col min="15124" max="15124" width="9.77734375" style="383" bestFit="1" customWidth="1"/>
    <col min="15125" max="15125" width="9.5546875" style="383" customWidth="1"/>
    <col min="15126" max="15126" width="8.88671875" style="383"/>
    <col min="15127" max="15127" width="9.5546875" style="383" bestFit="1" customWidth="1"/>
    <col min="15128" max="15128" width="12.109375" style="383" customWidth="1"/>
    <col min="15129" max="15129" width="8.88671875" style="383"/>
    <col min="15130" max="15130" width="10.109375" style="383" customWidth="1"/>
    <col min="15131" max="15364" width="8.88671875" style="383"/>
    <col min="15365" max="15365" width="11.6640625" style="383" customWidth="1"/>
    <col min="15366" max="15374" width="8.88671875" style="383"/>
    <col min="15375" max="15375" width="12.21875" style="383" customWidth="1"/>
    <col min="15376" max="15379" width="8.88671875" style="383"/>
    <col min="15380" max="15380" width="9.77734375" style="383" bestFit="1" customWidth="1"/>
    <col min="15381" max="15381" width="9.5546875" style="383" customWidth="1"/>
    <col min="15382" max="15382" width="8.88671875" style="383"/>
    <col min="15383" max="15383" width="9.5546875" style="383" bestFit="1" customWidth="1"/>
    <col min="15384" max="15384" width="12.109375" style="383" customWidth="1"/>
    <col min="15385" max="15385" width="8.88671875" style="383"/>
    <col min="15386" max="15386" width="10.109375" style="383" customWidth="1"/>
    <col min="15387" max="15620" width="8.88671875" style="383"/>
    <col min="15621" max="15621" width="11.6640625" style="383" customWidth="1"/>
    <col min="15622" max="15630" width="8.88671875" style="383"/>
    <col min="15631" max="15631" width="12.21875" style="383" customWidth="1"/>
    <col min="15632" max="15635" width="8.88671875" style="383"/>
    <col min="15636" max="15636" width="9.77734375" style="383" bestFit="1" customWidth="1"/>
    <col min="15637" max="15637" width="9.5546875" style="383" customWidth="1"/>
    <col min="15638" max="15638" width="8.88671875" style="383"/>
    <col min="15639" max="15639" width="9.5546875" style="383" bestFit="1" customWidth="1"/>
    <col min="15640" max="15640" width="12.109375" style="383" customWidth="1"/>
    <col min="15641" max="15641" width="8.88671875" style="383"/>
    <col min="15642" max="15642" width="10.109375" style="383" customWidth="1"/>
    <col min="15643" max="15876" width="8.88671875" style="383"/>
    <col min="15877" max="15877" width="11.6640625" style="383" customWidth="1"/>
    <col min="15878" max="15886" width="8.88671875" style="383"/>
    <col min="15887" max="15887" width="12.21875" style="383" customWidth="1"/>
    <col min="15888" max="15891" width="8.88671875" style="383"/>
    <col min="15892" max="15892" width="9.77734375" style="383" bestFit="1" customWidth="1"/>
    <col min="15893" max="15893" width="9.5546875" style="383" customWidth="1"/>
    <col min="15894" max="15894" width="8.88671875" style="383"/>
    <col min="15895" max="15895" width="9.5546875" style="383" bestFit="1" customWidth="1"/>
    <col min="15896" max="15896" width="12.109375" style="383" customWidth="1"/>
    <col min="15897" max="15897" width="8.88671875" style="383"/>
    <col min="15898" max="15898" width="10.109375" style="383" customWidth="1"/>
    <col min="15899" max="16132" width="8.88671875" style="383"/>
    <col min="16133" max="16133" width="11.6640625" style="383" customWidth="1"/>
    <col min="16134" max="16142" width="8.88671875" style="383"/>
    <col min="16143" max="16143" width="12.21875" style="383" customWidth="1"/>
    <col min="16144" max="16147" width="8.88671875" style="383"/>
    <col min="16148" max="16148" width="9.77734375" style="383" bestFit="1" customWidth="1"/>
    <col min="16149" max="16149" width="9.5546875" style="383" customWidth="1"/>
    <col min="16150" max="16150" width="8.88671875" style="383"/>
    <col min="16151" max="16151" width="9.5546875" style="383" bestFit="1" customWidth="1"/>
    <col min="16152" max="16152" width="12.109375" style="383" customWidth="1"/>
    <col min="16153" max="16153" width="8.88671875" style="383"/>
    <col min="16154" max="16154" width="10.109375" style="383" customWidth="1"/>
    <col min="16155" max="16384" width="8.88671875" style="383"/>
  </cols>
  <sheetData>
    <row r="1" spans="1:44" ht="13.8" thickBot="1" x14ac:dyDescent="0.3">
      <c r="R1" s="502"/>
      <c r="S1" s="503"/>
      <c r="T1" s="503"/>
      <c r="U1" s="503"/>
      <c r="V1" s="503"/>
      <c r="W1" s="503"/>
      <c r="X1" s="503"/>
      <c r="Y1" s="503"/>
      <c r="Z1" s="504"/>
    </row>
    <row r="2" spans="1:44" ht="57" customHeight="1" x14ac:dyDescent="0.25">
      <c r="A2" s="387" t="s">
        <v>125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8"/>
      <c r="O2" s="388"/>
      <c r="P2" s="388"/>
      <c r="Q2" s="388"/>
      <c r="R2" s="389" t="s">
        <v>126</v>
      </c>
      <c r="S2" s="390" t="s">
        <v>127</v>
      </c>
      <c r="T2" s="390" t="s">
        <v>128</v>
      </c>
      <c r="U2" s="390" t="s">
        <v>129</v>
      </c>
      <c r="V2" s="390" t="s">
        <v>130</v>
      </c>
      <c r="W2" s="390" t="s">
        <v>131</v>
      </c>
      <c r="X2" s="390" t="s">
        <v>132</v>
      </c>
      <c r="Y2" s="389" t="s">
        <v>133</v>
      </c>
      <c r="Z2" s="390" t="s">
        <v>188</v>
      </c>
      <c r="AO2" s="487" t="s">
        <v>180</v>
      </c>
      <c r="AP2" s="487" t="s">
        <v>181</v>
      </c>
      <c r="AQ2" s="487" t="s">
        <v>182</v>
      </c>
      <c r="AR2" s="487" t="s">
        <v>184</v>
      </c>
    </row>
    <row r="3" spans="1:44" ht="15" thickBot="1" x14ac:dyDescent="0.35">
      <c r="A3" s="391" t="s">
        <v>134</v>
      </c>
      <c r="B3" s="391">
        <v>1</v>
      </c>
      <c r="C3" s="391">
        <v>2</v>
      </c>
      <c r="D3" s="391">
        <v>3</v>
      </c>
      <c r="E3" s="391">
        <v>4</v>
      </c>
      <c r="F3" s="391">
        <v>5</v>
      </c>
      <c r="G3" s="391">
        <v>6</v>
      </c>
      <c r="H3" s="391">
        <v>7</v>
      </c>
      <c r="I3" s="391">
        <v>8</v>
      </c>
      <c r="J3" s="391">
        <v>9</v>
      </c>
      <c r="K3" s="391">
        <v>10</v>
      </c>
      <c r="L3" s="391">
        <v>11</v>
      </c>
      <c r="M3" s="391">
        <v>12</v>
      </c>
      <c r="R3" s="392" t="s">
        <v>135</v>
      </c>
      <c r="S3" s="393">
        <f>AVERAGE(D4:E4)</f>
        <v>8.294999971985817E-2</v>
      </c>
      <c r="T3" s="393">
        <f>S3-$P$4</f>
        <v>3.9349999278783798E-2</v>
      </c>
      <c r="U3" s="393">
        <f>$D$32/T3</f>
        <v>10.707751018064581</v>
      </c>
      <c r="V3" s="394">
        <f>((U3-$J$41)/$J$40)</f>
        <v>0.31931200123099723</v>
      </c>
      <c r="W3" s="395">
        <f>V3*10*X3</f>
        <v>127.72480049239888</v>
      </c>
      <c r="X3" s="396">
        <v>40</v>
      </c>
      <c r="Y3" s="397">
        <v>12.135775862068968</v>
      </c>
      <c r="Z3" s="398">
        <f>W3/Y3</f>
        <v>10.524650582218623</v>
      </c>
      <c r="AA3" s="385"/>
      <c r="AG3" s="529" t="s">
        <v>88</v>
      </c>
      <c r="AH3" s="530"/>
      <c r="AI3" s="527" t="s">
        <v>186</v>
      </c>
      <c r="AJ3" s="528"/>
      <c r="AK3" s="511" t="s">
        <v>187</v>
      </c>
      <c r="AL3" s="512"/>
      <c r="AN3" s="509" t="s">
        <v>88</v>
      </c>
      <c r="AO3" s="385">
        <f>AVERAGE(AH4:AH10)</f>
        <v>16.683152571156178</v>
      </c>
      <c r="AP3" s="385">
        <f>_xlfn.STDEV.S(AH4:AH10)</f>
        <v>3.188294933430976</v>
      </c>
      <c r="AQ3" s="383" t="s">
        <v>56</v>
      </c>
    </row>
    <row r="4" spans="1:44" ht="14.4" x14ac:dyDescent="0.3">
      <c r="A4" s="391" t="s">
        <v>56</v>
      </c>
      <c r="B4" s="399">
        <v>0.47830000519752502</v>
      </c>
      <c r="C4" s="400">
        <v>0.45159998536109924</v>
      </c>
      <c r="D4" s="401">
        <v>8.3999998867511749E-2</v>
      </c>
      <c r="E4" s="396">
        <v>8.190000057220459E-2</v>
      </c>
      <c r="F4" s="396">
        <v>6.5800003707408905E-2</v>
      </c>
      <c r="G4" s="396">
        <v>6.6600002348423004E-2</v>
      </c>
      <c r="H4" s="396">
        <v>7.9300001263618469E-2</v>
      </c>
      <c r="I4" s="396">
        <v>7.8400000929832458E-2</v>
      </c>
      <c r="J4" s="396">
        <v>8.5699997842311859E-2</v>
      </c>
      <c r="K4" s="396">
        <v>8.919999748468399E-2</v>
      </c>
      <c r="L4" s="400">
        <v>7.2200000286102295E-2</v>
      </c>
      <c r="M4" s="402">
        <v>7.7799998223781586E-2</v>
      </c>
      <c r="O4" s="403" t="s">
        <v>136</v>
      </c>
      <c r="P4" s="383">
        <f>AVERAGE(B5:C5)</f>
        <v>4.3600000441074371E-2</v>
      </c>
      <c r="R4" s="404" t="s">
        <v>137</v>
      </c>
      <c r="S4" s="405">
        <f>AVERAGE(F4:G4)</f>
        <v>6.6200003027915955E-2</v>
      </c>
      <c r="T4" s="405">
        <f t="shared" ref="T4:T31" si="0">S4-$P$4</f>
        <v>2.2600002586841583E-2</v>
      </c>
      <c r="U4" s="405">
        <f t="shared" ref="U4:U31" si="1">$D$32/T4</f>
        <v>18.643802947330666</v>
      </c>
      <c r="V4" s="383">
        <f t="shared" ref="V4:V31" si="2">((U4-$J$41)/$J$40)</f>
        <v>0.5686977668310943</v>
      </c>
      <c r="W4" s="406">
        <f t="shared" ref="W4:W31" si="3">V4*10*X4</f>
        <v>227.47910673243774</v>
      </c>
      <c r="X4" s="383">
        <v>40</v>
      </c>
      <c r="Y4" s="384">
        <v>15.002155172413795</v>
      </c>
      <c r="Z4" s="407">
        <f t="shared" ref="Z4:Z31" si="4">W4/Y4</f>
        <v>15.163095176533702</v>
      </c>
      <c r="AG4" s="514" t="s">
        <v>153</v>
      </c>
      <c r="AH4" s="515">
        <v>15.43824871821244</v>
      </c>
      <c r="AI4" s="516" t="s">
        <v>135</v>
      </c>
      <c r="AJ4" s="517">
        <v>10.524650582218623</v>
      </c>
      <c r="AK4" s="516" t="s">
        <v>69</v>
      </c>
      <c r="AL4" s="518">
        <v>9.9290283057377895</v>
      </c>
      <c r="AN4" s="508" t="s">
        <v>186</v>
      </c>
      <c r="AO4" s="385">
        <f>AVERAGE(AJ4:AJ10)</f>
        <v>11.002265535455081</v>
      </c>
      <c r="AP4" s="385">
        <f>_xlfn.STDEV.S(AJ4:AJ10)</f>
        <v>2.1584013599390675</v>
      </c>
      <c r="AQ4" s="383" t="s">
        <v>57</v>
      </c>
      <c r="AR4" s="485">
        <v>-0.34051639889231078</v>
      </c>
    </row>
    <row r="5" spans="1:44" ht="14.4" customHeight="1" x14ac:dyDescent="0.3">
      <c r="A5" s="391" t="s">
        <v>57</v>
      </c>
      <c r="B5" s="399">
        <v>4.6199999749660492E-2</v>
      </c>
      <c r="C5" s="400">
        <v>4.1000001132488251E-2</v>
      </c>
      <c r="D5" s="408">
        <v>6.1999998986721039E-2</v>
      </c>
      <c r="E5" s="409">
        <v>6.3199996948242188E-2</v>
      </c>
      <c r="F5" s="409">
        <v>6.4099997282028198E-2</v>
      </c>
      <c r="G5" s="409">
        <v>6.4000003039836884E-2</v>
      </c>
      <c r="H5" s="409">
        <v>8.0099999904632568E-2</v>
      </c>
      <c r="I5" s="409">
        <v>8.3700001239776611E-2</v>
      </c>
      <c r="J5" s="409">
        <v>7.0100001990795135E-2</v>
      </c>
      <c r="K5" s="410">
        <v>7.0200003683567047E-2</v>
      </c>
      <c r="L5" s="383">
        <v>9.3000002205371857E-2</v>
      </c>
      <c r="M5" s="411">
        <v>7.8000001609325409E-2</v>
      </c>
      <c r="O5" s="412" t="s">
        <v>138</v>
      </c>
      <c r="P5" s="383">
        <f>AVERAGE(B4:C4)</f>
        <v>0.46494999527931213</v>
      </c>
      <c r="R5" s="404" t="s">
        <v>139</v>
      </c>
      <c r="S5" s="405">
        <f>AVERAGE(H4:I4)</f>
        <v>7.8850001096725464E-2</v>
      </c>
      <c r="T5" s="405">
        <f t="shared" si="0"/>
        <v>3.5250000655651093E-2</v>
      </c>
      <c r="U5" s="405">
        <f t="shared" si="1"/>
        <v>11.953191120599005</v>
      </c>
      <c r="V5" s="383">
        <f t="shared" si="2"/>
        <v>0.35844922415342007</v>
      </c>
      <c r="W5" s="406">
        <f t="shared" si="3"/>
        <v>143.37968966136802</v>
      </c>
      <c r="X5" s="383">
        <v>40</v>
      </c>
      <c r="Y5" s="384">
        <v>12.965517241379311</v>
      </c>
      <c r="Z5" s="407">
        <f t="shared" si="4"/>
        <v>11.058539894094872</v>
      </c>
      <c r="AG5" s="519" t="s">
        <v>154</v>
      </c>
      <c r="AH5" s="513">
        <v>20.698002021878459</v>
      </c>
      <c r="AI5" s="413" t="s">
        <v>137</v>
      </c>
      <c r="AJ5" s="510">
        <v>15.163095176533702</v>
      </c>
      <c r="AK5" s="413" t="s">
        <v>70</v>
      </c>
      <c r="AL5" s="520">
        <v>9.2777815538603665</v>
      </c>
      <c r="AN5" s="507" t="s">
        <v>187</v>
      </c>
      <c r="AO5" s="385">
        <f>AVERAGE(AL4:AL13)</f>
        <v>9.0654828416288176</v>
      </c>
      <c r="AP5" s="385">
        <f>_xlfn.STDEV.S(AL4:AL13)</f>
        <v>0.78996653938770911</v>
      </c>
      <c r="AQ5" s="383" t="s">
        <v>57</v>
      </c>
      <c r="AR5" s="485">
        <v>-0.45660852749723668</v>
      </c>
    </row>
    <row r="6" spans="1:44" ht="14.4" x14ac:dyDescent="0.3">
      <c r="A6" s="391" t="s">
        <v>58</v>
      </c>
      <c r="B6" s="401">
        <v>0.28580000996589661</v>
      </c>
      <c r="C6" s="396">
        <v>0.31009998917579651</v>
      </c>
      <c r="D6" s="413">
        <v>8.1799998879432678E-2</v>
      </c>
      <c r="E6" s="383">
        <v>7.9599998891353607E-2</v>
      </c>
      <c r="F6" s="383">
        <v>8.3899997174739838E-2</v>
      </c>
      <c r="G6" s="383">
        <v>8.6900003254413605E-2</v>
      </c>
      <c r="H6" s="383">
        <v>9.5600001513957977E-2</v>
      </c>
      <c r="I6" s="383">
        <v>0.10159999877214432</v>
      </c>
      <c r="J6" s="383">
        <v>7.3100000619888306E-2</v>
      </c>
      <c r="K6" s="383">
        <v>6.419999897480011E-2</v>
      </c>
      <c r="L6" s="409">
        <v>8.4700003266334534E-2</v>
      </c>
      <c r="M6" s="410">
        <v>8.619999885559082E-2</v>
      </c>
      <c r="O6" s="412"/>
      <c r="R6" s="404" t="s">
        <v>140</v>
      </c>
      <c r="S6" s="405">
        <f>AVERAGE(J4:K4)</f>
        <v>8.7449997663497925E-2</v>
      </c>
      <c r="T6" s="405">
        <f t="shared" si="0"/>
        <v>4.3849997222423553E-2</v>
      </c>
      <c r="U6" s="405">
        <f t="shared" si="1"/>
        <v>9.6088944476095026</v>
      </c>
      <c r="V6" s="383">
        <f t="shared" si="2"/>
        <v>0.28478107961529414</v>
      </c>
      <c r="W6" s="406">
        <f t="shared" si="3"/>
        <v>113.91243184611766</v>
      </c>
      <c r="X6" s="383">
        <v>40</v>
      </c>
      <c r="Y6" s="384">
        <v>12.760775862068966</v>
      </c>
      <c r="Z6" s="407">
        <f t="shared" si="4"/>
        <v>8.9267637859480811</v>
      </c>
      <c r="AG6" s="519" t="s">
        <v>79</v>
      </c>
      <c r="AH6" s="513">
        <v>16.001404379104894</v>
      </c>
      <c r="AI6" s="413" t="s">
        <v>139</v>
      </c>
      <c r="AJ6" s="510">
        <v>11.058539894094872</v>
      </c>
      <c r="AK6" s="413" t="s">
        <v>71</v>
      </c>
      <c r="AL6" s="520">
        <v>9.0032168811269067</v>
      </c>
    </row>
    <row r="7" spans="1:44" ht="14.4" x14ac:dyDescent="0.3">
      <c r="A7" s="391" t="s">
        <v>59</v>
      </c>
      <c r="B7" s="413">
        <v>0.20020000636577606</v>
      </c>
      <c r="C7" s="383">
        <v>0.22139999270439148</v>
      </c>
      <c r="D7" s="408">
        <v>9.4300001859664917E-2</v>
      </c>
      <c r="E7" s="409">
        <v>9.9699996411800385E-2</v>
      </c>
      <c r="F7" s="409">
        <v>6.5999999642372131E-2</v>
      </c>
      <c r="G7" s="409">
        <v>6.6600002348423004E-2</v>
      </c>
      <c r="H7" s="409">
        <v>9.2600002884864807E-2</v>
      </c>
      <c r="I7" s="409">
        <v>9.6100002527236938E-2</v>
      </c>
      <c r="J7" s="409">
        <v>7.3700003325939178E-2</v>
      </c>
      <c r="K7" s="410">
        <v>7.0200003683567047E-2</v>
      </c>
      <c r="L7" s="383">
        <v>5.8899998664855957E-2</v>
      </c>
      <c r="M7" s="411">
        <v>6.0400001704692841E-2</v>
      </c>
      <c r="O7" s="412"/>
      <c r="R7" s="404" t="s">
        <v>141</v>
      </c>
      <c r="S7" s="405">
        <f>AVERAGE(L4:M4)</f>
        <v>7.499999925494194E-2</v>
      </c>
      <c r="T7" s="405">
        <f t="shared" si="0"/>
        <v>3.1399998813867569E-2</v>
      </c>
      <c r="U7" s="405">
        <f t="shared" si="1"/>
        <v>13.418790151423565</v>
      </c>
      <c r="V7" s="383">
        <f t="shared" si="2"/>
        <v>0.40450481194727972</v>
      </c>
      <c r="W7" s="406">
        <f t="shared" si="3"/>
        <v>161.80192477891188</v>
      </c>
      <c r="X7" s="383">
        <v>40</v>
      </c>
      <c r="Y7" s="384">
        <v>15.767241379310345</v>
      </c>
      <c r="Z7" s="407">
        <f t="shared" si="4"/>
        <v>10.26190446930223</v>
      </c>
      <c r="AG7" s="519" t="s">
        <v>80</v>
      </c>
      <c r="AH7" s="513">
        <v>21.558623987442964</v>
      </c>
      <c r="AI7" s="413" t="s">
        <v>140</v>
      </c>
      <c r="AJ7" s="510">
        <v>8.9267637859480811</v>
      </c>
      <c r="AK7" s="413" t="s">
        <v>72</v>
      </c>
      <c r="AL7" s="520">
        <v>7.9247507680777254</v>
      </c>
    </row>
    <row r="8" spans="1:44" ht="14.4" x14ac:dyDescent="0.3">
      <c r="A8" s="391" t="s">
        <v>60</v>
      </c>
      <c r="B8" s="413">
        <v>0.17239999771118164</v>
      </c>
      <c r="C8" s="383">
        <v>0.16689999401569366</v>
      </c>
      <c r="D8" s="413">
        <v>5.7500001043081284E-2</v>
      </c>
      <c r="E8" s="383">
        <v>5.7999998331069946E-2</v>
      </c>
      <c r="F8" s="383">
        <v>5.6800000369548798E-2</v>
      </c>
      <c r="G8" s="383">
        <v>5.7700000703334808E-2</v>
      </c>
      <c r="H8" s="383">
        <v>6.4599998295307159E-2</v>
      </c>
      <c r="I8" s="383">
        <v>6.589999794960022E-2</v>
      </c>
      <c r="J8" s="383">
        <v>6.2199998646974564E-2</v>
      </c>
      <c r="K8" s="383">
        <v>6.25E-2</v>
      </c>
      <c r="L8" s="409">
        <v>6.8199999630451202E-2</v>
      </c>
      <c r="M8" s="410">
        <v>6.849999725818634E-2</v>
      </c>
      <c r="R8" s="414" t="s">
        <v>142</v>
      </c>
      <c r="S8" s="405">
        <f>AVERAGE(D5:E5)</f>
        <v>6.2599997967481613E-2</v>
      </c>
      <c r="T8" s="405">
        <f t="shared" si="0"/>
        <v>1.8999997526407242E-2</v>
      </c>
      <c r="U8" s="405">
        <f t="shared" si="1"/>
        <v>22.176318404916756</v>
      </c>
      <c r="V8" s="383">
        <f t="shared" si="2"/>
        <v>0.67970498802070589</v>
      </c>
      <c r="W8" s="406">
        <f t="shared" si="3"/>
        <v>271.88199520828232</v>
      </c>
      <c r="X8" s="383">
        <v>40</v>
      </c>
      <c r="Y8" s="384">
        <v>14.765086206896552</v>
      </c>
      <c r="Z8" s="407">
        <f t="shared" si="4"/>
        <v>18.413844077746752</v>
      </c>
      <c r="AG8" s="519" t="s">
        <v>81</v>
      </c>
      <c r="AH8" s="513">
        <v>14.452714625039338</v>
      </c>
      <c r="AI8" s="413" t="s">
        <v>141</v>
      </c>
      <c r="AJ8" s="510">
        <v>10.26190446930223</v>
      </c>
      <c r="AK8" s="413" t="s">
        <v>74</v>
      </c>
      <c r="AL8" s="520">
        <v>10.031363071718285</v>
      </c>
      <c r="AN8" s="487" t="s">
        <v>185</v>
      </c>
      <c r="AO8" s="383" t="s">
        <v>193</v>
      </c>
    </row>
    <row r="9" spans="1:44" ht="14.4" x14ac:dyDescent="0.3">
      <c r="A9" s="391" t="s">
        <v>61</v>
      </c>
      <c r="B9" s="413">
        <v>0.1242000013589859</v>
      </c>
      <c r="C9" s="383">
        <v>0.11879999935626984</v>
      </c>
      <c r="D9" s="408">
        <v>6.3500002026557922E-2</v>
      </c>
      <c r="E9" s="409">
        <v>5.8299999684095383E-2</v>
      </c>
      <c r="F9" s="409">
        <v>6.549999862909317E-2</v>
      </c>
      <c r="G9" s="409">
        <v>6.5999999642372131E-2</v>
      </c>
      <c r="H9" s="409">
        <v>6.7400000989437103E-2</v>
      </c>
      <c r="I9" s="409">
        <v>6.7900002002716064E-2</v>
      </c>
      <c r="J9" s="409">
        <v>6.6200003027915955E-2</v>
      </c>
      <c r="K9" s="410">
        <v>6.8999998271465302E-2</v>
      </c>
      <c r="M9" s="411"/>
      <c r="R9" s="404" t="s">
        <v>143</v>
      </c>
      <c r="S9" s="405">
        <f>AVERAGE(F5:G5)</f>
        <v>6.4050000160932541E-2</v>
      </c>
      <c r="T9" s="405">
        <f t="shared" si="0"/>
        <v>2.044999971985817E-2</v>
      </c>
      <c r="U9" s="405">
        <f t="shared" si="1"/>
        <v>20.603912010281437</v>
      </c>
      <c r="V9" s="383">
        <f t="shared" si="2"/>
        <v>0.63029304162018862</v>
      </c>
      <c r="W9" s="406">
        <f t="shared" si="3"/>
        <v>252.11721664807544</v>
      </c>
      <c r="X9" s="383">
        <v>40</v>
      </c>
      <c r="Y9" s="384">
        <v>14.398706896551726</v>
      </c>
      <c r="Z9" s="407">
        <f t="shared" si="4"/>
        <v>17.509712397052386</v>
      </c>
      <c r="AG9" s="519" t="s">
        <v>156</v>
      </c>
      <c r="AH9" s="510">
        <v>13.110105834279862</v>
      </c>
      <c r="AI9" s="413" t="s">
        <v>144</v>
      </c>
      <c r="AJ9" s="510">
        <v>8.9395139910539925</v>
      </c>
      <c r="AK9" s="413" t="s">
        <v>75</v>
      </c>
      <c r="AL9" s="520">
        <v>8.2196815051117031</v>
      </c>
      <c r="AN9" s="383" t="s">
        <v>105</v>
      </c>
      <c r="AO9" s="531">
        <v>0.2725134145</v>
      </c>
    </row>
    <row r="10" spans="1:44" ht="15" thickBot="1" x14ac:dyDescent="0.35">
      <c r="A10" s="391" t="s">
        <v>62</v>
      </c>
      <c r="B10" s="413">
        <v>8.6000002920627594E-2</v>
      </c>
      <c r="C10" s="383">
        <v>8.8399998843669891E-2</v>
      </c>
      <c r="D10" s="413"/>
      <c r="M10" s="411"/>
      <c r="R10" s="404" t="s">
        <v>144</v>
      </c>
      <c r="S10" s="405">
        <f>AVERAGE(H5:I5)</f>
        <v>8.190000057220459E-2</v>
      </c>
      <c r="T10" s="405">
        <f t="shared" si="0"/>
        <v>3.8300000131130219E-2</v>
      </c>
      <c r="U10" s="405">
        <f t="shared" si="1"/>
        <v>11.001305310590972</v>
      </c>
      <c r="V10" s="383">
        <f t="shared" si="2"/>
        <v>0.32853677226820732</v>
      </c>
      <c r="W10" s="406">
        <f t="shared" si="3"/>
        <v>131.41470890728294</v>
      </c>
      <c r="X10" s="383">
        <v>40</v>
      </c>
      <c r="Y10" s="384">
        <v>14.70043103448276</v>
      </c>
      <c r="Z10" s="407">
        <f t="shared" si="4"/>
        <v>8.9395139910539925</v>
      </c>
      <c r="AG10" s="521" t="s">
        <v>87</v>
      </c>
      <c r="AH10" s="522">
        <v>15.522968432135292</v>
      </c>
      <c r="AI10" s="523" t="s">
        <v>145</v>
      </c>
      <c r="AJ10" s="522">
        <v>12.14139084903406</v>
      </c>
      <c r="AK10" s="523" t="s">
        <v>77</v>
      </c>
      <c r="AL10" s="524">
        <v>9.0725578057689535</v>
      </c>
      <c r="AN10" s="383" t="s">
        <v>103</v>
      </c>
      <c r="AO10" s="531">
        <v>5.1709960830000003E-4</v>
      </c>
    </row>
    <row r="11" spans="1:44" ht="14.4" x14ac:dyDescent="0.3">
      <c r="A11" s="391" t="s">
        <v>63</v>
      </c>
      <c r="B11" s="408">
        <v>6.379999965429306E-2</v>
      </c>
      <c r="C11" s="409">
        <v>6.589999794960022E-2</v>
      </c>
      <c r="D11" s="408"/>
      <c r="E11" s="409"/>
      <c r="F11" s="409"/>
      <c r="G11" s="409"/>
      <c r="H11" s="409"/>
      <c r="I11" s="409"/>
      <c r="J11" s="415"/>
      <c r="K11" s="415"/>
      <c r="L11" s="415"/>
      <c r="M11" s="416"/>
      <c r="R11" s="417" t="s">
        <v>145</v>
      </c>
      <c r="S11" s="418">
        <f>AVERAGE(J5:K5)</f>
        <v>7.0150002837181091E-2</v>
      </c>
      <c r="T11" s="418">
        <f t="shared" si="0"/>
        <v>2.655000239610672E-2</v>
      </c>
      <c r="U11" s="418">
        <f t="shared" si="1"/>
        <v>15.870054870504431</v>
      </c>
      <c r="V11" s="409">
        <f t="shared" si="2"/>
        <v>0.48153436443825259</v>
      </c>
      <c r="W11" s="419">
        <f t="shared" si="3"/>
        <v>192.61374577530106</v>
      </c>
      <c r="X11" s="409">
        <v>40</v>
      </c>
      <c r="Y11" s="420">
        <v>15.86422413793103</v>
      </c>
      <c r="Z11" s="421">
        <f t="shared" si="4"/>
        <v>12.14139084903406</v>
      </c>
      <c r="AI11" s="488"/>
      <c r="AJ11" s="488"/>
      <c r="AK11" s="488"/>
      <c r="AL11" s="499"/>
      <c r="AN11" s="383" t="s">
        <v>104</v>
      </c>
      <c r="AO11" s="531">
        <v>1.0000000000000001E-15</v>
      </c>
    </row>
    <row r="12" spans="1:44" ht="14.4" x14ac:dyDescent="0.3">
      <c r="A12" s="422"/>
      <c r="B12" s="423"/>
      <c r="R12" s="424" t="s">
        <v>69</v>
      </c>
      <c r="S12" s="393">
        <f>AVERAGE(L5:M5)</f>
        <v>8.5500001907348633E-2</v>
      </c>
      <c r="T12" s="393">
        <f t="shared" si="0"/>
        <v>4.1900001466274261E-2</v>
      </c>
      <c r="U12" s="393">
        <f t="shared" si="1"/>
        <v>10.056085443753187</v>
      </c>
      <c r="V12" s="396">
        <f t="shared" si="2"/>
        <v>0.29883379372764701</v>
      </c>
      <c r="W12" s="395">
        <f t="shared" si="3"/>
        <v>119.5335174910588</v>
      </c>
      <c r="X12" s="396">
        <v>40</v>
      </c>
      <c r="Y12" s="397">
        <v>12.038793103448274</v>
      </c>
      <c r="Z12" s="398">
        <f t="shared" si="4"/>
        <v>9.9290283057377895</v>
      </c>
      <c r="AA12" s="385"/>
      <c r="AI12" s="488"/>
      <c r="AJ12" s="488"/>
      <c r="AK12" s="488"/>
      <c r="AL12" s="488"/>
    </row>
    <row r="13" spans="1:44" ht="14.4" x14ac:dyDescent="0.3">
      <c r="A13" s="422"/>
      <c r="O13" s="403"/>
      <c r="R13" s="425" t="s">
        <v>70</v>
      </c>
      <c r="S13" s="405">
        <f>AVERAGE(D6:E6)</f>
        <v>8.0699998885393143E-2</v>
      </c>
      <c r="T13" s="405">
        <f t="shared" si="0"/>
        <v>3.7099998444318771E-2</v>
      </c>
      <c r="U13" s="405">
        <f t="shared" si="1"/>
        <v>11.357143194240761</v>
      </c>
      <c r="V13" s="383">
        <f t="shared" si="2"/>
        <v>0.3397187685346717</v>
      </c>
      <c r="W13" s="406">
        <f t="shared" si="3"/>
        <v>135.88750741386866</v>
      </c>
      <c r="X13" s="383">
        <v>40</v>
      </c>
      <c r="Y13" s="384">
        <v>14.646551724137934</v>
      </c>
      <c r="Z13" s="407">
        <f t="shared" si="4"/>
        <v>9.2777815538603665</v>
      </c>
      <c r="AI13" s="488"/>
      <c r="AJ13" s="488"/>
      <c r="AK13" s="488"/>
      <c r="AL13" s="499"/>
    </row>
    <row r="14" spans="1:44" ht="14.4" x14ac:dyDescent="0.3">
      <c r="A14" s="391" t="s">
        <v>134</v>
      </c>
      <c r="B14" s="391">
        <v>1</v>
      </c>
      <c r="C14" s="391">
        <v>2</v>
      </c>
      <c r="D14" s="391">
        <v>3</v>
      </c>
      <c r="E14" s="391">
        <v>4</v>
      </c>
      <c r="F14" s="391">
        <v>5</v>
      </c>
      <c r="G14" s="391">
        <v>6</v>
      </c>
      <c r="H14" s="391">
        <v>7</v>
      </c>
      <c r="I14" s="391">
        <v>8</v>
      </c>
      <c r="J14" s="391">
        <v>9</v>
      </c>
      <c r="K14" s="391">
        <v>10</v>
      </c>
      <c r="L14" s="391">
        <v>11</v>
      </c>
      <c r="M14" s="391">
        <v>12</v>
      </c>
      <c r="R14" s="425" t="s">
        <v>71</v>
      </c>
      <c r="S14" s="405">
        <f>AVERAGE(F6:G6)</f>
        <v>8.5400000214576721E-2</v>
      </c>
      <c r="T14" s="405">
        <f t="shared" si="0"/>
        <v>4.179999977350235E-2</v>
      </c>
      <c r="U14" s="405">
        <f t="shared" si="1"/>
        <v>10.080143471803028</v>
      </c>
      <c r="V14" s="383">
        <f t="shared" si="2"/>
        <v>0.29958980311336092</v>
      </c>
      <c r="W14" s="406">
        <f t="shared" si="3"/>
        <v>119.83592124534437</v>
      </c>
      <c r="X14" s="383">
        <v>40</v>
      </c>
      <c r="Y14" s="384">
        <v>13.310344827586208</v>
      </c>
      <c r="Z14" s="407">
        <f t="shared" si="4"/>
        <v>9.0032168811269067</v>
      </c>
    </row>
    <row r="15" spans="1:44" ht="14.4" x14ac:dyDescent="0.3">
      <c r="A15" s="391" t="s">
        <v>56</v>
      </c>
      <c r="B15" s="426" t="s">
        <v>146</v>
      </c>
      <c r="C15" s="426"/>
      <c r="D15" s="426" t="s">
        <v>135</v>
      </c>
      <c r="E15" s="426"/>
      <c r="F15" s="426" t="s">
        <v>137</v>
      </c>
      <c r="G15" s="426"/>
      <c r="H15" s="426" t="s">
        <v>139</v>
      </c>
      <c r="I15" s="426"/>
      <c r="J15" s="426" t="s">
        <v>140</v>
      </c>
      <c r="K15" s="426"/>
      <c r="L15" s="426" t="s">
        <v>141</v>
      </c>
      <c r="M15" s="426"/>
      <c r="R15" s="425" t="s">
        <v>72</v>
      </c>
      <c r="S15" s="405">
        <f>AVERAGE(H6:I6)</f>
        <v>9.8600000143051147E-2</v>
      </c>
      <c r="T15" s="405">
        <f t="shared" si="0"/>
        <v>5.4999999701976776E-2</v>
      </c>
      <c r="U15" s="405">
        <f t="shared" si="1"/>
        <v>7.6609090385703009</v>
      </c>
      <c r="V15" s="383">
        <f t="shared" si="2"/>
        <v>0.22356678352184789</v>
      </c>
      <c r="W15" s="406">
        <f t="shared" si="3"/>
        <v>89.426713408739147</v>
      </c>
      <c r="X15" s="383">
        <v>40</v>
      </c>
      <c r="Y15" s="384">
        <v>11.284482758620689</v>
      </c>
      <c r="Z15" s="407">
        <f t="shared" si="4"/>
        <v>7.9247507680777254</v>
      </c>
      <c r="AH15" s="385"/>
      <c r="AJ15" s="385"/>
      <c r="AL15" s="385"/>
    </row>
    <row r="16" spans="1:44" ht="14.4" x14ac:dyDescent="0.3">
      <c r="A16" s="391" t="s">
        <v>57</v>
      </c>
      <c r="B16" s="426" t="s">
        <v>51</v>
      </c>
      <c r="C16" s="426"/>
      <c r="D16" s="426" t="s">
        <v>142</v>
      </c>
      <c r="E16" s="426"/>
      <c r="F16" s="426" t="s">
        <v>143</v>
      </c>
      <c r="G16" s="426"/>
      <c r="H16" s="426" t="s">
        <v>144</v>
      </c>
      <c r="I16" s="426"/>
      <c r="J16" s="426" t="s">
        <v>145</v>
      </c>
      <c r="K16" s="426"/>
      <c r="L16" s="426" t="s">
        <v>69</v>
      </c>
      <c r="M16" s="426"/>
      <c r="R16" s="425" t="s">
        <v>73</v>
      </c>
      <c r="S16" s="405">
        <f>AVERAGE(J6:K6)</f>
        <v>6.8649999797344208E-2</v>
      </c>
      <c r="T16" s="405">
        <f t="shared" si="0"/>
        <v>2.5049999356269836E-2</v>
      </c>
      <c r="U16" s="405">
        <f t="shared" si="1"/>
        <v>16.82035950762517</v>
      </c>
      <c r="V16" s="383">
        <f t="shared" si="2"/>
        <v>0.51139712889518762</v>
      </c>
      <c r="W16" s="406">
        <f t="shared" si="3"/>
        <v>204.55885155807505</v>
      </c>
      <c r="X16" s="383">
        <v>40</v>
      </c>
      <c r="Y16" s="384">
        <v>12.938577586206899</v>
      </c>
      <c r="Z16" s="407">
        <f t="shared" si="4"/>
        <v>15.809995356533157</v>
      </c>
    </row>
    <row r="17" spans="1:27" ht="14.4" x14ac:dyDescent="0.3">
      <c r="A17" s="391" t="s">
        <v>58</v>
      </c>
      <c r="B17" s="426" t="s">
        <v>147</v>
      </c>
      <c r="C17" s="426"/>
      <c r="D17" s="426" t="s">
        <v>70</v>
      </c>
      <c r="E17" s="426"/>
      <c r="F17" s="426" t="s">
        <v>71</v>
      </c>
      <c r="G17" s="426"/>
      <c r="H17" s="426" t="s">
        <v>72</v>
      </c>
      <c r="I17" s="426"/>
      <c r="J17" s="426" t="s">
        <v>73</v>
      </c>
      <c r="K17" s="426"/>
      <c r="L17" s="426" t="s">
        <v>74</v>
      </c>
      <c r="M17" s="426"/>
      <c r="R17" s="425" t="s">
        <v>74</v>
      </c>
      <c r="S17" s="405">
        <f>AVERAGE(L6:M6)</f>
        <v>8.5450001060962677E-2</v>
      </c>
      <c r="T17" s="405">
        <f t="shared" si="0"/>
        <v>4.1850000619888306E-2</v>
      </c>
      <c r="U17" s="405">
        <f t="shared" si="1"/>
        <v>10.068100085953173</v>
      </c>
      <c r="V17" s="383">
        <f t="shared" si="2"/>
        <v>0.29921134679435579</v>
      </c>
      <c r="W17" s="406">
        <f t="shared" si="3"/>
        <v>119.68453871774231</v>
      </c>
      <c r="X17" s="383">
        <v>40</v>
      </c>
      <c r="Y17" s="384">
        <v>11.931034482758621</v>
      </c>
      <c r="Z17" s="407">
        <f t="shared" si="4"/>
        <v>10.031363071718285</v>
      </c>
    </row>
    <row r="18" spans="1:27" ht="14.4" x14ac:dyDescent="0.3">
      <c r="A18" s="391" t="s">
        <v>59</v>
      </c>
      <c r="B18" s="426" t="s">
        <v>148</v>
      </c>
      <c r="C18" s="426"/>
      <c r="D18" s="426" t="s">
        <v>75</v>
      </c>
      <c r="E18" s="426"/>
      <c r="F18" s="426" t="s">
        <v>76</v>
      </c>
      <c r="G18" s="426"/>
      <c r="H18" s="426" t="s">
        <v>77</v>
      </c>
      <c r="I18" s="426"/>
      <c r="J18" s="426" t="s">
        <v>149</v>
      </c>
      <c r="K18" s="426"/>
      <c r="L18" s="426" t="s">
        <v>150</v>
      </c>
      <c r="M18" s="426"/>
      <c r="R18" s="425" t="s">
        <v>75</v>
      </c>
      <c r="S18" s="405">
        <f>AVERAGE(D7:E7)</f>
        <v>9.6999999135732651E-2</v>
      </c>
      <c r="T18" s="405">
        <f t="shared" si="0"/>
        <v>5.3399998694658279E-2</v>
      </c>
      <c r="U18" s="405">
        <f t="shared" si="1"/>
        <v>7.8904495344189272</v>
      </c>
      <c r="V18" s="383">
        <f t="shared" si="2"/>
        <v>0.23077995863759204</v>
      </c>
      <c r="W18" s="406">
        <f t="shared" si="3"/>
        <v>92.311983455036824</v>
      </c>
      <c r="X18" s="383">
        <v>40</v>
      </c>
      <c r="Y18" s="384">
        <v>11.230603448275863</v>
      </c>
      <c r="Z18" s="407">
        <f t="shared" si="4"/>
        <v>8.2196815051117031</v>
      </c>
    </row>
    <row r="19" spans="1:27" ht="14.4" x14ac:dyDescent="0.3">
      <c r="A19" s="391" t="s">
        <v>60</v>
      </c>
      <c r="B19" s="426" t="s">
        <v>151</v>
      </c>
      <c r="C19" s="426"/>
      <c r="D19" s="426" t="s">
        <v>152</v>
      </c>
      <c r="E19" s="426"/>
      <c r="F19" s="426" t="s">
        <v>78</v>
      </c>
      <c r="G19" s="426"/>
      <c r="H19" s="426" t="s">
        <v>153</v>
      </c>
      <c r="I19" s="426"/>
      <c r="J19" s="426" t="s">
        <v>154</v>
      </c>
      <c r="K19" s="426"/>
      <c r="L19" s="426" t="s">
        <v>79</v>
      </c>
      <c r="M19" s="426"/>
      <c r="O19" s="427"/>
      <c r="P19" s="427"/>
      <c r="Q19" s="427"/>
      <c r="R19" s="425" t="s">
        <v>76</v>
      </c>
      <c r="S19" s="405">
        <f>AVERAGE(F7:G7)</f>
        <v>6.6300000995397568E-2</v>
      </c>
      <c r="T19" s="405">
        <f t="shared" si="0"/>
        <v>2.2700000554323196E-2</v>
      </c>
      <c r="U19" s="405">
        <f t="shared" si="1"/>
        <v>18.561673328152938</v>
      </c>
      <c r="V19" s="383">
        <f t="shared" si="2"/>
        <v>0.5661168918393934</v>
      </c>
      <c r="W19" s="428">
        <f t="shared" si="3"/>
        <v>226.44675673575736</v>
      </c>
      <c r="X19" s="383">
        <v>40</v>
      </c>
      <c r="Y19" s="384">
        <v>13.278017241379311</v>
      </c>
      <c r="Z19" s="407">
        <f t="shared" si="4"/>
        <v>17.054259880764715</v>
      </c>
    </row>
    <row r="20" spans="1:27" ht="14.4" x14ac:dyDescent="0.3">
      <c r="A20" s="391" t="s">
        <v>61</v>
      </c>
      <c r="B20" s="426" t="s">
        <v>155</v>
      </c>
      <c r="C20" s="426"/>
      <c r="D20" s="426" t="s">
        <v>80</v>
      </c>
      <c r="E20" s="426"/>
      <c r="F20" s="426" t="s">
        <v>81</v>
      </c>
      <c r="G20" s="426"/>
      <c r="H20" s="426" t="s">
        <v>156</v>
      </c>
      <c r="I20" s="426"/>
      <c r="J20" s="426" t="s">
        <v>87</v>
      </c>
      <c r="K20" s="426"/>
      <c r="L20" s="426" t="s">
        <v>157</v>
      </c>
      <c r="M20" s="426"/>
      <c r="O20" s="427"/>
      <c r="P20" s="427"/>
      <c r="Q20" s="427"/>
      <c r="R20" s="425" t="s">
        <v>77</v>
      </c>
      <c r="S20" s="405">
        <f>AVERAGE(H7:I7)</f>
        <v>9.4350002706050873E-2</v>
      </c>
      <c r="T20" s="405">
        <f t="shared" si="0"/>
        <v>5.0750002264976501E-2</v>
      </c>
      <c r="U20" s="429">
        <f t="shared" si="1"/>
        <v>8.3024625819380322</v>
      </c>
      <c r="V20" s="383">
        <f t="shared" si="2"/>
        <v>0.24372722639851296</v>
      </c>
      <c r="W20" s="428">
        <f t="shared" si="3"/>
        <v>97.490890559405187</v>
      </c>
      <c r="X20" s="383">
        <v>40</v>
      </c>
      <c r="Y20" s="384">
        <v>10.745689655172415</v>
      </c>
      <c r="Z20" s="407">
        <f t="shared" si="4"/>
        <v>9.0725578057689535</v>
      </c>
      <c r="AA20" s="430"/>
    </row>
    <row r="21" spans="1:27" ht="14.4" x14ac:dyDescent="0.3">
      <c r="A21" s="391" t="s">
        <v>62</v>
      </c>
      <c r="B21" s="426" t="s">
        <v>158</v>
      </c>
      <c r="C21" s="426"/>
      <c r="D21" s="426" t="s">
        <v>159</v>
      </c>
      <c r="E21" s="426"/>
      <c r="F21" s="426" t="s">
        <v>160</v>
      </c>
      <c r="G21" s="426"/>
      <c r="H21" s="426" t="s">
        <v>161</v>
      </c>
      <c r="I21" s="426"/>
      <c r="J21" s="426" t="s">
        <v>162</v>
      </c>
      <c r="K21" s="426"/>
      <c r="L21" s="426" t="s">
        <v>163</v>
      </c>
      <c r="M21" s="426"/>
      <c r="O21" s="427"/>
      <c r="P21" s="427"/>
      <c r="Q21" s="427"/>
      <c r="R21" s="431" t="s">
        <v>149</v>
      </c>
      <c r="S21" s="418">
        <f>AVERAGE(J7:K7)</f>
        <v>7.1950003504753113E-2</v>
      </c>
      <c r="T21" s="418">
        <f t="shared" si="0"/>
        <v>2.8350003063678741E-2</v>
      </c>
      <c r="U21" s="432">
        <f t="shared" si="1"/>
        <v>14.86243207423353</v>
      </c>
      <c r="V21" s="409">
        <f t="shared" si="2"/>
        <v>0.44987041053222415</v>
      </c>
      <c r="W21" s="433">
        <f t="shared" si="3"/>
        <v>179.94816421288965</v>
      </c>
      <c r="X21" s="409">
        <v>40</v>
      </c>
      <c r="Y21" s="420">
        <v>13.073275862068964</v>
      </c>
      <c r="Z21" s="421">
        <f t="shared" si="4"/>
        <v>13.76458097507102</v>
      </c>
      <c r="AA21" s="430"/>
    </row>
    <row r="22" spans="1:27" ht="14.4" x14ac:dyDescent="0.3">
      <c r="A22" s="391" t="s">
        <v>63</v>
      </c>
      <c r="B22" s="426" t="s">
        <v>164</v>
      </c>
      <c r="C22" s="426"/>
      <c r="D22" s="426" t="s">
        <v>165</v>
      </c>
      <c r="E22" s="426"/>
      <c r="F22" s="426" t="s">
        <v>166</v>
      </c>
      <c r="G22" s="426"/>
      <c r="H22" s="426" t="s">
        <v>167</v>
      </c>
      <c r="I22" s="426"/>
      <c r="J22" s="434"/>
      <c r="K22" s="434"/>
      <c r="L22" s="434"/>
      <c r="M22" s="434"/>
      <c r="O22" s="427"/>
      <c r="P22" s="427"/>
      <c r="Q22" s="427"/>
      <c r="R22" s="435" t="s">
        <v>150</v>
      </c>
      <c r="S22" s="393">
        <f>AVERAGE(L7:M7)</f>
        <v>5.9650000184774399E-2</v>
      </c>
      <c r="T22" s="393">
        <f t="shared" si="0"/>
        <v>1.6049999743700027E-2</v>
      </c>
      <c r="U22" s="436">
        <f t="shared" si="1"/>
        <v>26.252336546212518</v>
      </c>
      <c r="V22" s="396">
        <f t="shared" si="2"/>
        <v>0.8077914614746331</v>
      </c>
      <c r="W22" s="437">
        <f t="shared" si="3"/>
        <v>323.11658458985323</v>
      </c>
      <c r="X22" s="396">
        <v>40</v>
      </c>
      <c r="Y22" s="397">
        <v>19.16163793103448</v>
      </c>
      <c r="Z22" s="398">
        <f t="shared" si="4"/>
        <v>16.862680828893478</v>
      </c>
      <c r="AA22" s="430"/>
    </row>
    <row r="23" spans="1:27" x14ac:dyDescent="0.25">
      <c r="R23" s="438" t="s">
        <v>152</v>
      </c>
      <c r="S23" s="383">
        <f>AVERAGE(D8:E8)</f>
        <v>5.7749999687075615E-2</v>
      </c>
      <c r="T23" s="405">
        <f t="shared" si="0"/>
        <v>1.4149999246001244E-2</v>
      </c>
      <c r="U23" s="405">
        <f t="shared" si="1"/>
        <v>29.777386380943469</v>
      </c>
      <c r="V23" s="383">
        <f t="shared" si="2"/>
        <v>0.91856407985569388</v>
      </c>
      <c r="W23" s="439">
        <f t="shared" si="3"/>
        <v>367.42563194227756</v>
      </c>
      <c r="X23" s="383">
        <v>40</v>
      </c>
      <c r="Y23" s="384">
        <v>18.084051724137932</v>
      </c>
      <c r="Z23" s="407">
        <f t="shared" si="4"/>
        <v>20.317660972615514</v>
      </c>
    </row>
    <row r="24" spans="1:27" x14ac:dyDescent="0.25">
      <c r="D24" s="440"/>
      <c r="E24" s="440"/>
      <c r="F24" s="427"/>
      <c r="G24" s="384"/>
      <c r="H24" s="427"/>
      <c r="I24" s="384"/>
      <c r="J24" s="427"/>
      <c r="K24" s="384"/>
      <c r="L24" s="427"/>
      <c r="M24" s="384"/>
      <c r="R24" s="438" t="s">
        <v>78</v>
      </c>
      <c r="S24" s="383">
        <f>AVERAGE(F8:G8)</f>
        <v>5.7250000536441803E-2</v>
      </c>
      <c r="T24" s="405">
        <f t="shared" si="0"/>
        <v>1.3650000095367432E-2</v>
      </c>
      <c r="U24" s="405">
        <f t="shared" si="1"/>
        <v>30.868131274316731</v>
      </c>
      <c r="V24" s="383">
        <f t="shared" si="2"/>
        <v>0.9528400967886429</v>
      </c>
      <c r="W24" s="439">
        <f t="shared" si="3"/>
        <v>381.13603871545712</v>
      </c>
      <c r="X24" s="383">
        <v>40</v>
      </c>
      <c r="Y24" s="384">
        <v>15.982758620689655</v>
      </c>
      <c r="Z24" s="407">
        <f t="shared" si="4"/>
        <v>23.846699293955247</v>
      </c>
    </row>
    <row r="25" spans="1:27" x14ac:dyDescent="0.25">
      <c r="O25" s="427"/>
      <c r="P25" s="427"/>
      <c r="Q25" s="427"/>
      <c r="R25" s="441" t="s">
        <v>153</v>
      </c>
      <c r="S25" s="383">
        <f>AVERAGE(H8:I8)</f>
        <v>6.524999812245369E-2</v>
      </c>
      <c r="T25" s="405">
        <f t="shared" si="0"/>
        <v>2.1649997681379318E-2</v>
      </c>
      <c r="U25" s="405">
        <f t="shared" si="1"/>
        <v>19.461895610299834</v>
      </c>
      <c r="V25" s="383">
        <f t="shared" si="2"/>
        <v>0.59440584773893379</v>
      </c>
      <c r="W25" s="439">
        <f t="shared" si="3"/>
        <v>237.76233909557351</v>
      </c>
      <c r="X25" s="442">
        <v>40</v>
      </c>
      <c r="Y25" s="384">
        <v>15.400862068965518</v>
      </c>
      <c r="Z25" s="407">
        <f t="shared" si="4"/>
        <v>15.43824871821244</v>
      </c>
    </row>
    <row r="26" spans="1:27" x14ac:dyDescent="0.25">
      <c r="A26" s="443"/>
      <c r="B26" s="444"/>
      <c r="C26" s="444"/>
      <c r="D26" s="444"/>
      <c r="E26" s="389" t="s">
        <v>168</v>
      </c>
      <c r="F26" s="389" t="s">
        <v>169</v>
      </c>
      <c r="G26" s="444"/>
      <c r="H26" s="444"/>
      <c r="I26" s="444"/>
      <c r="J26" s="444"/>
      <c r="K26" s="444"/>
      <c r="L26" s="444"/>
      <c r="M26" s="444"/>
      <c r="O26" s="427"/>
      <c r="P26" s="427"/>
      <c r="Q26" s="427"/>
      <c r="R26" s="438" t="s">
        <v>154</v>
      </c>
      <c r="S26" s="383">
        <f>AVERAGE(J8:K8)</f>
        <v>6.2349999323487282E-2</v>
      </c>
      <c r="T26" s="405">
        <f t="shared" si="0"/>
        <v>1.874999888241291E-2</v>
      </c>
      <c r="U26" s="405">
        <f t="shared" si="1"/>
        <v>22.472001064141654</v>
      </c>
      <c r="V26" s="383">
        <f t="shared" si="2"/>
        <v>0.68899664172996944</v>
      </c>
      <c r="W26" s="439">
        <f t="shared" si="3"/>
        <v>275.5986566919878</v>
      </c>
      <c r="X26" s="442">
        <v>40</v>
      </c>
      <c r="Y26" s="384">
        <v>13.865301724137932</v>
      </c>
      <c r="Z26" s="407">
        <f t="shared" si="4"/>
        <v>19.876859672819201</v>
      </c>
    </row>
    <row r="27" spans="1:27" ht="14.4" customHeight="1" x14ac:dyDescent="0.3">
      <c r="A27" s="422"/>
      <c r="B27" s="384"/>
      <c r="C27" s="445" t="s">
        <v>189</v>
      </c>
      <c r="D27" s="446" t="s">
        <v>190</v>
      </c>
      <c r="E27" s="446" t="s">
        <v>191</v>
      </c>
      <c r="F27" s="446" t="s">
        <v>170</v>
      </c>
      <c r="G27" s="447"/>
      <c r="H27" s="427"/>
      <c r="I27" s="384"/>
      <c r="O27" s="427"/>
      <c r="P27" s="427"/>
      <c r="Q27" s="427"/>
      <c r="R27" s="441" t="s">
        <v>79</v>
      </c>
      <c r="S27" s="383">
        <f>AVERAGE(L8:M8)</f>
        <v>6.8349998444318771E-2</v>
      </c>
      <c r="T27" s="405">
        <f t="shared" si="0"/>
        <v>2.47499980032444E-2</v>
      </c>
      <c r="U27" s="405">
        <f t="shared" si="1"/>
        <v>17.024243589151173</v>
      </c>
      <c r="V27" s="383">
        <f t="shared" si="2"/>
        <v>0.51780406627642228</v>
      </c>
      <c r="W27" s="439">
        <f t="shared" si="3"/>
        <v>207.12162651056894</v>
      </c>
      <c r="X27" s="383">
        <v>40</v>
      </c>
      <c r="Y27" s="384">
        <v>12.943965517241379</v>
      </c>
      <c r="Z27" s="407">
        <f t="shared" si="4"/>
        <v>16.001404379104894</v>
      </c>
    </row>
    <row r="28" spans="1:27" ht="14.4" x14ac:dyDescent="0.3">
      <c r="A28" s="422"/>
      <c r="B28" s="384"/>
      <c r="C28" s="445"/>
      <c r="D28" s="446"/>
      <c r="E28" s="446"/>
      <c r="F28" s="446"/>
      <c r="G28" s="447"/>
      <c r="H28" s="427"/>
      <c r="I28" s="384"/>
      <c r="O28" s="427"/>
      <c r="P28" s="427"/>
      <c r="Q28" s="427"/>
      <c r="R28" s="438" t="s">
        <v>80</v>
      </c>
      <c r="S28" s="383">
        <f>AVERAGE(D9:E9)</f>
        <v>6.0900000855326653E-2</v>
      </c>
      <c r="T28" s="405">
        <f t="shared" si="0"/>
        <v>1.7300000414252281E-2</v>
      </c>
      <c r="U28" s="405">
        <f t="shared" si="1"/>
        <v>24.355490447914466</v>
      </c>
      <c r="V28" s="383">
        <f t="shared" si="2"/>
        <v>0.74818418815209531</v>
      </c>
      <c r="W28" s="439">
        <f t="shared" si="3"/>
        <v>299.2736752608381</v>
      </c>
      <c r="X28" s="383">
        <v>40</v>
      </c>
      <c r="Y28" s="384">
        <v>15.605603448275865</v>
      </c>
      <c r="Z28" s="407">
        <f t="shared" si="4"/>
        <v>19.177321546889775</v>
      </c>
    </row>
    <row r="29" spans="1:27" ht="14.4" x14ac:dyDescent="0.3">
      <c r="A29" s="422"/>
      <c r="C29" s="445"/>
      <c r="D29" s="446"/>
      <c r="E29" s="446"/>
      <c r="F29" s="446"/>
      <c r="G29" s="447"/>
      <c r="R29" s="441" t="s">
        <v>81</v>
      </c>
      <c r="S29" s="383">
        <f>AVERAGE(F9:G9)</f>
        <v>6.5749999135732651E-2</v>
      </c>
      <c r="T29" s="405">
        <f t="shared" si="0"/>
        <v>2.2149998694658279E-2</v>
      </c>
      <c r="U29" s="405">
        <f t="shared" si="1"/>
        <v>19.022574251431042</v>
      </c>
      <c r="V29" s="383">
        <f t="shared" si="2"/>
        <v>0.58060043235071812</v>
      </c>
      <c r="W29" s="439">
        <f t="shared" si="3"/>
        <v>232.24017294028727</v>
      </c>
      <c r="X29" s="383">
        <v>40</v>
      </c>
      <c r="Y29" s="384">
        <v>16.068965517241377</v>
      </c>
      <c r="Z29" s="407">
        <f t="shared" si="4"/>
        <v>14.452714625039338</v>
      </c>
    </row>
    <row r="30" spans="1:27" ht="14.4" x14ac:dyDescent="0.3">
      <c r="A30" s="422"/>
      <c r="C30" s="445"/>
      <c r="D30" s="446"/>
      <c r="E30" s="446"/>
      <c r="F30" s="446"/>
      <c r="R30" s="441" t="s">
        <v>156</v>
      </c>
      <c r="S30" s="383">
        <f>AVERAGE(H9:I9)</f>
        <v>6.7650001496076584E-2</v>
      </c>
      <c r="T30" s="405">
        <f>S30-$P$4</f>
        <v>2.4050001055002213E-2</v>
      </c>
      <c r="U30" s="405">
        <f t="shared" si="1"/>
        <v>17.519749536584751</v>
      </c>
      <c r="V30" s="383">
        <f t="shared" si="2"/>
        <v>0.53337504932460811</v>
      </c>
      <c r="W30" s="439">
        <f t="shared" si="3"/>
        <v>213.35001972984321</v>
      </c>
      <c r="X30" s="383">
        <v>40</v>
      </c>
      <c r="Y30" s="384">
        <v>16.273706896551726</v>
      </c>
      <c r="Z30" s="407">
        <f t="shared" si="4"/>
        <v>13.110105834279862</v>
      </c>
    </row>
    <row r="31" spans="1:27" ht="14.4" x14ac:dyDescent="0.3">
      <c r="A31" s="422"/>
      <c r="C31" s="445"/>
      <c r="D31" s="446"/>
      <c r="E31" s="446"/>
      <c r="F31" s="446"/>
      <c r="H31" s="427"/>
      <c r="I31" s="448"/>
      <c r="O31" s="427"/>
      <c r="P31" s="427"/>
      <c r="Q31" s="427"/>
      <c r="R31" s="441" t="s">
        <v>87</v>
      </c>
      <c r="S31" s="488">
        <f>AVERAGE(J9:K9)</f>
        <v>6.7600000649690628E-2</v>
      </c>
      <c r="T31" s="489">
        <f t="shared" si="0"/>
        <v>2.4000000208616257E-2</v>
      </c>
      <c r="U31" s="489">
        <f t="shared" si="1"/>
        <v>17.556249632321613</v>
      </c>
      <c r="V31" s="488">
        <f t="shared" si="2"/>
        <v>0.53452204337164133</v>
      </c>
      <c r="W31" s="490">
        <f t="shared" si="3"/>
        <v>213.80881734865653</v>
      </c>
      <c r="X31" s="488">
        <v>40</v>
      </c>
      <c r="Y31" s="491">
        <v>13.773706896551722</v>
      </c>
      <c r="Z31" s="407">
        <f t="shared" si="4"/>
        <v>15.522968432135292</v>
      </c>
    </row>
    <row r="32" spans="1:27" ht="15" thickBot="1" x14ac:dyDescent="0.35">
      <c r="A32" s="422"/>
      <c r="B32" s="383" t="s">
        <v>171</v>
      </c>
      <c r="C32" s="383">
        <f>AVERAGE(B4:C4)</f>
        <v>0.46494999527931213</v>
      </c>
      <c r="D32" s="383">
        <f>C32-$C$39</f>
        <v>0.42134999483823776</v>
      </c>
      <c r="E32" s="383">
        <v>0</v>
      </c>
      <c r="F32" s="383">
        <f>C32/C32</f>
        <v>1</v>
      </c>
      <c r="H32" s="427"/>
      <c r="I32" s="448"/>
      <c r="O32" s="427"/>
      <c r="P32" s="427"/>
      <c r="Q32" s="427"/>
      <c r="R32" s="492"/>
      <c r="S32" s="493"/>
      <c r="T32" s="494"/>
      <c r="U32" s="494"/>
      <c r="V32" s="493"/>
      <c r="W32" s="495"/>
      <c r="X32" s="493"/>
      <c r="Y32" s="496"/>
      <c r="Z32" s="497"/>
    </row>
    <row r="33" spans="1:27" ht="14.4" x14ac:dyDescent="0.3">
      <c r="A33" s="422"/>
      <c r="B33" s="448" t="s">
        <v>147</v>
      </c>
      <c r="C33" s="383">
        <f t="shared" ref="C33:C38" si="5">AVERAGE(B6:C6)</f>
        <v>0.29794999957084656</v>
      </c>
      <c r="D33" s="383">
        <f t="shared" ref="D33:D39" si="6">C33-$C$39</f>
        <v>0.25434999912977219</v>
      </c>
      <c r="E33" s="449">
        <v>0.03</v>
      </c>
      <c r="F33" s="450">
        <f t="shared" ref="F33:F38" si="7">$D$32/D33</f>
        <v>1.6565755701979001</v>
      </c>
      <c r="H33" s="427"/>
      <c r="I33" s="448"/>
      <c r="O33" s="427"/>
      <c r="P33" s="427"/>
      <c r="Q33" s="427"/>
      <c r="R33" s="492"/>
      <c r="S33" s="493"/>
      <c r="T33" s="494"/>
      <c r="U33" s="494"/>
      <c r="V33" s="493"/>
      <c r="W33" s="495"/>
      <c r="X33" s="493"/>
      <c r="Y33" s="496"/>
      <c r="Z33" s="497"/>
    </row>
    <row r="34" spans="1:27" ht="14.4" x14ac:dyDescent="0.3">
      <c r="A34" s="422"/>
      <c r="B34" s="448" t="s">
        <v>148</v>
      </c>
      <c r="C34" s="383">
        <f t="shared" si="5"/>
        <v>0.21079999953508377</v>
      </c>
      <c r="D34" s="383">
        <f t="shared" si="6"/>
        <v>0.1671999990940094</v>
      </c>
      <c r="E34" s="451">
        <v>0.06</v>
      </c>
      <c r="F34" s="452">
        <f t="shared" si="7"/>
        <v>2.5200358679507571</v>
      </c>
      <c r="H34" s="427"/>
      <c r="I34" s="448"/>
      <c r="O34" s="427"/>
      <c r="P34" s="427"/>
      <c r="Q34" s="427"/>
      <c r="R34" s="492"/>
      <c r="S34" s="493"/>
      <c r="T34" s="494"/>
      <c r="U34" s="494"/>
      <c r="V34" s="493"/>
      <c r="W34" s="495"/>
      <c r="X34" s="493"/>
      <c r="Y34" s="496"/>
      <c r="Z34" s="497"/>
    </row>
    <row r="35" spans="1:27" ht="14.4" x14ac:dyDescent="0.3">
      <c r="A35" s="422"/>
      <c r="B35" s="448" t="s">
        <v>151</v>
      </c>
      <c r="C35" s="383">
        <f t="shared" si="5"/>
        <v>0.16964999586343765</v>
      </c>
      <c r="D35" s="383">
        <f t="shared" si="6"/>
        <v>0.12604999542236328</v>
      </c>
      <c r="E35" s="451">
        <v>0.09</v>
      </c>
      <c r="F35" s="452">
        <f t="shared" si="7"/>
        <v>3.3427212228480854</v>
      </c>
      <c r="R35" s="492"/>
      <c r="S35" s="493"/>
      <c r="T35" s="494"/>
      <c r="U35" s="494"/>
      <c r="V35" s="493"/>
      <c r="W35" s="495"/>
      <c r="X35" s="493"/>
      <c r="Y35" s="496"/>
      <c r="Z35" s="497"/>
    </row>
    <row r="36" spans="1:27" x14ac:dyDescent="0.25">
      <c r="B36" s="448" t="s">
        <v>155</v>
      </c>
      <c r="C36" s="383">
        <f t="shared" si="5"/>
        <v>0.12150000035762787</v>
      </c>
      <c r="D36" s="383">
        <f t="shared" si="6"/>
        <v>7.7899999916553497E-2</v>
      </c>
      <c r="E36" s="451">
        <v>0.15</v>
      </c>
      <c r="F36" s="452">
        <f t="shared" si="7"/>
        <v>5.4088574491603083</v>
      </c>
      <c r="R36" s="492"/>
      <c r="S36" s="493"/>
      <c r="T36" s="494"/>
      <c r="U36" s="494"/>
      <c r="V36" s="493"/>
      <c r="W36" s="495"/>
      <c r="X36" s="493"/>
      <c r="Y36" s="496"/>
      <c r="Z36" s="497"/>
    </row>
    <row r="37" spans="1:27" x14ac:dyDescent="0.25">
      <c r="B37" s="448" t="s">
        <v>158</v>
      </c>
      <c r="C37" s="383">
        <f t="shared" si="5"/>
        <v>8.7200000882148743E-2</v>
      </c>
      <c r="D37" s="383">
        <f t="shared" si="6"/>
        <v>4.3600000441074371E-2</v>
      </c>
      <c r="E37" s="451">
        <v>0.3</v>
      </c>
      <c r="F37" s="452">
        <f t="shared" si="7"/>
        <v>9.6639906095343857</v>
      </c>
      <c r="R37" s="492"/>
      <c r="S37" s="493"/>
      <c r="T37" s="494"/>
      <c r="U37" s="494"/>
      <c r="V37" s="493"/>
      <c r="W37" s="495"/>
      <c r="X37" s="493"/>
      <c r="Y37" s="496"/>
      <c r="Z37" s="497"/>
    </row>
    <row r="38" spans="1:27" ht="13.8" thickBot="1" x14ac:dyDescent="0.3">
      <c r="B38" s="448" t="s">
        <v>164</v>
      </c>
      <c r="C38" s="383">
        <f t="shared" si="5"/>
        <v>6.484999880194664E-2</v>
      </c>
      <c r="D38" s="383">
        <f t="shared" si="6"/>
        <v>2.1249998360872269E-2</v>
      </c>
      <c r="E38" s="453">
        <v>0.6</v>
      </c>
      <c r="F38" s="454">
        <f t="shared" si="7"/>
        <v>19.828236580670598</v>
      </c>
      <c r="R38" s="492"/>
      <c r="S38" s="493"/>
      <c r="T38" s="494"/>
      <c r="U38" s="494"/>
      <c r="V38" s="493"/>
      <c r="W38" s="495"/>
      <c r="X38" s="493"/>
      <c r="Y38" s="496"/>
      <c r="Z38" s="497"/>
    </row>
    <row r="39" spans="1:27" x14ac:dyDescent="0.25">
      <c r="B39" s="448" t="s">
        <v>51</v>
      </c>
      <c r="C39" s="383">
        <f>AVERAGE(B5:C5)</f>
        <v>4.3600000441074371E-2</v>
      </c>
      <c r="D39" s="383">
        <f t="shared" si="6"/>
        <v>0</v>
      </c>
      <c r="R39" s="492"/>
      <c r="S39" s="493"/>
      <c r="T39" s="494"/>
      <c r="U39" s="494"/>
      <c r="V39" s="493"/>
      <c r="W39" s="495"/>
      <c r="X39" s="493"/>
      <c r="Y39" s="496"/>
      <c r="Z39" s="497"/>
    </row>
    <row r="40" spans="1:27" x14ac:dyDescent="0.25">
      <c r="I40" s="455" t="s">
        <v>172</v>
      </c>
      <c r="J40" s="383">
        <f>SLOPE(F33:F38,E33:E38)</f>
        <v>31.822393351800017</v>
      </c>
      <c r="R40" s="492"/>
      <c r="S40" s="493"/>
      <c r="T40" s="494"/>
      <c r="U40" s="494"/>
      <c r="V40" s="493"/>
      <c r="W40" s="495"/>
      <c r="X40" s="493"/>
      <c r="Y40" s="496"/>
      <c r="Z40" s="497"/>
    </row>
    <row r="41" spans="1:27" x14ac:dyDescent="0.25">
      <c r="I41" s="455" t="s">
        <v>173</v>
      </c>
      <c r="J41" s="383">
        <f>INTERCEPT(F33:F38,E33:E38)</f>
        <v>0.54647891294133544</v>
      </c>
    </row>
    <row r="43" spans="1:27" x14ac:dyDescent="0.25">
      <c r="A43" s="445"/>
      <c r="B43" s="445"/>
      <c r="C43" s="445"/>
      <c r="D43" s="445"/>
      <c r="E43" s="445"/>
      <c r="F43" s="445"/>
      <c r="G43" s="445"/>
      <c r="H43" s="445"/>
      <c r="I43" s="445"/>
      <c r="J43" s="445"/>
      <c r="K43" s="445"/>
      <c r="L43" s="445"/>
      <c r="M43" s="445"/>
      <c r="N43" s="388"/>
      <c r="O43" s="388"/>
      <c r="P43" s="388"/>
      <c r="Q43" s="388"/>
      <c r="R43" s="389"/>
      <c r="S43" s="390"/>
      <c r="T43" s="456"/>
      <c r="U43" s="456"/>
      <c r="V43" s="390"/>
      <c r="W43" s="390"/>
      <c r="X43" s="390"/>
      <c r="Y43" s="403"/>
      <c r="Z43" s="457"/>
      <c r="AA43" s="388"/>
    </row>
    <row r="44" spans="1:27" ht="13.8" thickBot="1" x14ac:dyDescent="0.3">
      <c r="T44" s="383"/>
      <c r="U44" s="383"/>
      <c r="Y44" s="383"/>
      <c r="Z44" s="383"/>
    </row>
    <row r="45" spans="1:27" ht="13.8" thickBot="1" x14ac:dyDescent="0.3">
      <c r="P45" s="502"/>
      <c r="Q45" s="503"/>
      <c r="R45" s="503"/>
      <c r="S45" s="503"/>
      <c r="T45" s="503"/>
      <c r="U45" s="503"/>
      <c r="V45" s="503"/>
      <c r="W45" s="503"/>
      <c r="X45" s="503"/>
      <c r="Y45" s="504"/>
      <c r="Z45" s="383"/>
    </row>
    <row r="46" spans="1:27" ht="66" x14ac:dyDescent="0.25">
      <c r="A46" s="387" t="s">
        <v>174</v>
      </c>
      <c r="B46" s="387"/>
      <c r="C46" s="387"/>
      <c r="D46" s="387"/>
      <c r="E46" s="387"/>
      <c r="F46" s="387"/>
      <c r="G46" s="387"/>
      <c r="H46" s="387"/>
      <c r="I46" s="387"/>
      <c r="J46" s="387"/>
      <c r="K46" s="387"/>
      <c r="L46" s="387"/>
      <c r="M46" s="387"/>
      <c r="N46" s="388"/>
      <c r="O46" s="388"/>
      <c r="P46" s="389" t="s">
        <v>126</v>
      </c>
      <c r="Q46" s="390" t="s">
        <v>127</v>
      </c>
      <c r="R46" s="390" t="s">
        <v>128</v>
      </c>
      <c r="S46" s="390" t="s">
        <v>129</v>
      </c>
      <c r="T46" s="390" t="s">
        <v>130</v>
      </c>
      <c r="U46" s="390" t="s">
        <v>131</v>
      </c>
      <c r="V46" s="390" t="s">
        <v>132</v>
      </c>
      <c r="W46" s="389" t="s">
        <v>133</v>
      </c>
      <c r="X46" s="390" t="s">
        <v>188</v>
      </c>
      <c r="Y46" s="388"/>
      <c r="Z46" s="383"/>
    </row>
    <row r="47" spans="1:27" ht="14.4" x14ac:dyDescent="0.3">
      <c r="A47" s="391" t="s">
        <v>134</v>
      </c>
      <c r="B47" s="391">
        <v>1</v>
      </c>
      <c r="C47" s="391">
        <v>2</v>
      </c>
      <c r="D47" s="391">
        <v>3</v>
      </c>
      <c r="E47" s="391">
        <v>4</v>
      </c>
      <c r="F47" s="391">
        <v>5</v>
      </c>
      <c r="G47" s="391">
        <v>6</v>
      </c>
      <c r="H47" s="391">
        <v>7</v>
      </c>
      <c r="I47" s="391">
        <v>8</v>
      </c>
      <c r="J47" s="391">
        <v>9</v>
      </c>
      <c r="K47" s="391">
        <v>10</v>
      </c>
      <c r="L47" s="391">
        <v>11</v>
      </c>
      <c r="M47" s="391">
        <v>12</v>
      </c>
      <c r="P47" s="392" t="s">
        <v>142</v>
      </c>
      <c r="Q47" s="393">
        <f>AVERAGE(E48:F48)</f>
        <v>8.684999868273735E-2</v>
      </c>
      <c r="R47" s="393">
        <f>Q47-$Q$57</f>
        <v>4.5949998001257576E-2</v>
      </c>
      <c r="S47" s="396">
        <f>$R$62/R47</f>
        <v>7.8868338911765514</v>
      </c>
      <c r="T47" s="397">
        <f>((S47-$X$73)/$X$72)</f>
        <v>0.31642975896912845</v>
      </c>
      <c r="U47" s="395">
        <f t="shared" ref="U47:U53" si="8">T47*10*V47</f>
        <v>316.42975896912844</v>
      </c>
      <c r="V47" s="396">
        <v>100</v>
      </c>
      <c r="W47" s="397">
        <v>14.765086206896552</v>
      </c>
      <c r="X47" s="398">
        <f t="shared" ref="X47:X53" si="9">U47/W47</f>
        <v>21.430945578992205</v>
      </c>
      <c r="Y47" s="385"/>
      <c r="Z47" s="383"/>
    </row>
    <row r="48" spans="1:27" ht="14.4" x14ac:dyDescent="0.3">
      <c r="A48" s="391" t="s">
        <v>56</v>
      </c>
      <c r="B48" s="399">
        <v>0.4099000096321106</v>
      </c>
      <c r="C48" s="400">
        <v>0.22640000283718109</v>
      </c>
      <c r="D48" s="402">
        <v>0.39669999480247498</v>
      </c>
      <c r="E48" s="458">
        <v>8.789999783039093E-2</v>
      </c>
      <c r="F48" s="396">
        <v>8.5799999535083771E-2</v>
      </c>
      <c r="G48" s="396">
        <v>7.6499998569488525E-2</v>
      </c>
      <c r="H48" s="396">
        <v>7.4299998581409454E-2</v>
      </c>
      <c r="I48" s="396">
        <v>6.8000003695487976E-2</v>
      </c>
      <c r="J48" s="396">
        <v>6.4099997282028198E-2</v>
      </c>
      <c r="K48" s="396">
        <v>6.6899999976158142E-2</v>
      </c>
      <c r="L48" s="459">
        <v>6.7699998617172241E-2</v>
      </c>
      <c r="M48" s="460"/>
      <c r="P48" s="417" t="s">
        <v>143</v>
      </c>
      <c r="Q48" s="418">
        <f>AVERAGE(G48:H48)</f>
        <v>7.539999857544899E-2</v>
      </c>
      <c r="R48" s="418">
        <f t="shared" ref="R48:R53" si="10">Q48-$Q$57</f>
        <v>3.4499997893969216E-2</v>
      </c>
      <c r="S48" s="409">
        <f t="shared" ref="S48:S53" si="11">$R$62/R48</f>
        <v>10.504348511834619</v>
      </c>
      <c r="T48" s="420">
        <f t="shared" ref="T48:T53" si="12">((S48-$X$73)/$X$72)</f>
        <v>0.42943207099305819</v>
      </c>
      <c r="U48" s="419">
        <f t="shared" si="8"/>
        <v>429.43207099305818</v>
      </c>
      <c r="V48" s="409">
        <v>100</v>
      </c>
      <c r="W48" s="420">
        <v>14.398706896551726</v>
      </c>
      <c r="X48" s="421">
        <f t="shared" si="9"/>
        <v>29.824349789070343</v>
      </c>
      <c r="Y48" s="385"/>
      <c r="Z48" s="383"/>
    </row>
    <row r="49" spans="1:26" ht="14.4" x14ac:dyDescent="0.3">
      <c r="A49" s="391" t="s">
        <v>57</v>
      </c>
      <c r="B49" s="399">
        <v>4.0800001472234726E-2</v>
      </c>
      <c r="C49" s="400">
        <v>4.1600000113248825E-2</v>
      </c>
      <c r="D49" s="402">
        <v>4.0300000458955765E-2</v>
      </c>
      <c r="E49" s="461">
        <v>7.4400000274181366E-2</v>
      </c>
      <c r="F49" s="409">
        <v>7.1099996566772461E-2</v>
      </c>
      <c r="G49" s="409">
        <v>9.0599998831748962E-2</v>
      </c>
      <c r="H49" s="409">
        <v>9.1799996793270111E-2</v>
      </c>
      <c r="I49" s="409">
        <v>8.5000000894069672E-2</v>
      </c>
      <c r="J49" s="409">
        <v>8.35999995470047E-2</v>
      </c>
      <c r="K49" s="409"/>
      <c r="L49" s="410"/>
      <c r="M49" s="460"/>
      <c r="P49" s="462" t="s">
        <v>150</v>
      </c>
      <c r="Q49" s="405">
        <f>AVERAGE(I48:J48)</f>
        <v>6.6050000488758087E-2</v>
      </c>
      <c r="R49" s="405">
        <f t="shared" si="10"/>
        <v>2.5149999807278313E-2</v>
      </c>
      <c r="S49" s="383">
        <f t="shared" si="11"/>
        <v>14.409542915023636</v>
      </c>
      <c r="T49" s="384">
        <f t="shared" si="12"/>
        <v>0.59802558828631525</v>
      </c>
      <c r="U49" s="406">
        <f t="shared" si="8"/>
        <v>598.02558828631527</v>
      </c>
      <c r="V49" s="383">
        <v>100</v>
      </c>
      <c r="W49" s="384">
        <v>19.16163793103448</v>
      </c>
      <c r="X49" s="407">
        <f t="shared" si="9"/>
        <v>31.209523446727061</v>
      </c>
      <c r="Y49" s="385"/>
      <c r="Z49" s="383"/>
    </row>
    <row r="50" spans="1:26" ht="14.4" x14ac:dyDescent="0.3">
      <c r="A50" s="391" t="s">
        <v>58</v>
      </c>
      <c r="B50" s="413">
        <v>0.32300001382827759</v>
      </c>
      <c r="C50" s="383">
        <v>0.30070000886917114</v>
      </c>
      <c r="D50" s="411">
        <v>0.28200000524520874</v>
      </c>
      <c r="E50" s="448">
        <v>0.17319999635219574</v>
      </c>
      <c r="F50" s="383">
        <v>0.17059999704360962</v>
      </c>
      <c r="G50" s="383">
        <v>0.18760000169277191</v>
      </c>
      <c r="H50" s="383">
        <v>0.19650000333786011</v>
      </c>
      <c r="I50" s="383">
        <v>0.19130000472068787</v>
      </c>
      <c r="J50" s="383">
        <v>0.17949999868869781</v>
      </c>
      <c r="K50" s="383">
        <v>0.18719999492168427</v>
      </c>
      <c r="L50" s="459">
        <v>0.1859000027179718</v>
      </c>
      <c r="M50" s="460"/>
      <c r="P50" s="462" t="s">
        <v>152</v>
      </c>
      <c r="Q50" s="405">
        <f>AVERAGE(K48:L48)</f>
        <v>6.7299999296665192E-2</v>
      </c>
      <c r="R50" s="405">
        <f t="shared" si="10"/>
        <v>2.6399998615185417E-2</v>
      </c>
      <c r="S50" s="383">
        <f t="shared" si="11"/>
        <v>13.727273505512938</v>
      </c>
      <c r="T50" s="384">
        <f t="shared" si="12"/>
        <v>0.56857092160004974</v>
      </c>
      <c r="U50" s="406">
        <f t="shared" si="8"/>
        <v>568.57092160004981</v>
      </c>
      <c r="V50" s="383">
        <v>100</v>
      </c>
      <c r="W50" s="384">
        <v>18.084051724137932</v>
      </c>
      <c r="X50" s="407">
        <f t="shared" si="9"/>
        <v>31.440460925089155</v>
      </c>
      <c r="Y50" s="385"/>
      <c r="Z50" s="383"/>
    </row>
    <row r="51" spans="1:26" ht="14.4" x14ac:dyDescent="0.3">
      <c r="A51" s="391" t="s">
        <v>59</v>
      </c>
      <c r="B51" s="413">
        <v>0.24339999258518219</v>
      </c>
      <c r="C51" s="383">
        <v>0.24300000071525574</v>
      </c>
      <c r="D51" s="411">
        <v>0.22310000658035278</v>
      </c>
      <c r="E51" s="448">
        <v>0.20980000495910645</v>
      </c>
      <c r="F51" s="383">
        <v>0.20160000026226044</v>
      </c>
      <c r="G51" s="383">
        <v>0.18580000102519989</v>
      </c>
      <c r="H51" s="383">
        <v>0.18310000002384186</v>
      </c>
      <c r="I51" s="383">
        <v>0.17049999535083771</v>
      </c>
      <c r="J51" s="383">
        <v>0.17309999465942383</v>
      </c>
      <c r="K51" s="383">
        <v>0.19959999620914459</v>
      </c>
      <c r="L51" s="410">
        <v>0.19329999387264252</v>
      </c>
      <c r="M51" s="460"/>
      <c r="P51" s="462" t="s">
        <v>78</v>
      </c>
      <c r="Q51" s="405">
        <f>AVERAGE(E49:F49)</f>
        <v>7.2749998420476913E-2</v>
      </c>
      <c r="R51" s="405">
        <f t="shared" si="10"/>
        <v>3.1849997738997139E-2</v>
      </c>
      <c r="S51" s="383">
        <f t="shared" si="11"/>
        <v>11.37833680572261</v>
      </c>
      <c r="T51" s="384">
        <f t="shared" si="12"/>
        <v>0.46716354997381848</v>
      </c>
      <c r="U51" s="406">
        <f t="shared" si="8"/>
        <v>467.16354997381853</v>
      </c>
      <c r="V51" s="383">
        <v>100</v>
      </c>
      <c r="W51" s="384">
        <v>15.982758620689655</v>
      </c>
      <c r="X51" s="407">
        <f t="shared" si="9"/>
        <v>29.229218876463296</v>
      </c>
      <c r="Y51" s="385"/>
      <c r="Z51" s="383"/>
    </row>
    <row r="52" spans="1:26" ht="14.4" x14ac:dyDescent="0.3">
      <c r="A52" s="391" t="s">
        <v>60</v>
      </c>
      <c r="B52" s="413">
        <v>0.1875</v>
      </c>
      <c r="C52" s="383">
        <v>0.18269999325275421</v>
      </c>
      <c r="D52" s="411">
        <v>0.1729000061750412</v>
      </c>
      <c r="E52" s="448">
        <v>0.17299999296665192</v>
      </c>
      <c r="F52" s="383">
        <v>0.164000004529953</v>
      </c>
      <c r="G52" s="383">
        <v>0.1817999929189682</v>
      </c>
      <c r="H52" s="383">
        <v>0.19079999625682831</v>
      </c>
      <c r="I52" s="383">
        <v>0.19900000095367432</v>
      </c>
      <c r="J52" s="383">
        <v>0.19760000705718994</v>
      </c>
      <c r="K52" s="399">
        <v>7.5300000607967377E-2</v>
      </c>
      <c r="L52" s="402">
        <v>7.720000296831131E-2</v>
      </c>
      <c r="M52" s="460"/>
      <c r="P52" s="462" t="s">
        <v>154</v>
      </c>
      <c r="Q52" s="405">
        <f>AVERAGE(G49:H49)</f>
        <v>9.1199997812509537E-2</v>
      </c>
      <c r="R52" s="405">
        <f t="shared" si="10"/>
        <v>5.0299997131029762E-2</v>
      </c>
      <c r="S52" s="383">
        <f t="shared" si="11"/>
        <v>7.2047718132423251</v>
      </c>
      <c r="T52" s="384">
        <f t="shared" si="12"/>
        <v>0.28698404312016179</v>
      </c>
      <c r="U52" s="406">
        <f t="shared" si="8"/>
        <v>286.9840431201618</v>
      </c>
      <c r="V52" s="383">
        <v>100</v>
      </c>
      <c r="W52" s="384">
        <v>13.865301724137932</v>
      </c>
      <c r="X52" s="407">
        <f t="shared" si="9"/>
        <v>20.698002021878459</v>
      </c>
      <c r="Y52" s="385"/>
      <c r="Z52" s="383"/>
    </row>
    <row r="53" spans="1:26" ht="14.4" x14ac:dyDescent="0.3">
      <c r="A53" s="391" t="s">
        <v>61</v>
      </c>
      <c r="B53" s="413">
        <v>0.12479999661445618</v>
      </c>
      <c r="C53" s="383">
        <v>0.13670000433921814</v>
      </c>
      <c r="D53" s="411">
        <v>0.12909999489784241</v>
      </c>
      <c r="E53" s="463">
        <v>6.4800001680850983E-2</v>
      </c>
      <c r="F53" s="400">
        <v>6.5099999308586121E-2</v>
      </c>
      <c r="G53" s="400">
        <v>0.14730000495910645</v>
      </c>
      <c r="H53" s="400">
        <v>0.16449999809265137</v>
      </c>
      <c r="I53" s="400">
        <v>8.2699999213218689E-2</v>
      </c>
      <c r="J53" s="402">
        <v>3.9200000464916229E-2</v>
      </c>
      <c r="K53" s="464"/>
      <c r="L53" s="464"/>
      <c r="M53" s="460"/>
      <c r="P53" s="462" t="s">
        <v>80</v>
      </c>
      <c r="Q53" s="489">
        <f>AVERAGE(I49:J49)</f>
        <v>8.4300000220537186E-2</v>
      </c>
      <c r="R53" s="489">
        <f t="shared" si="10"/>
        <v>4.3399999539057411E-2</v>
      </c>
      <c r="S53" s="488">
        <f t="shared" si="11"/>
        <v>8.3502305388200444</v>
      </c>
      <c r="T53" s="491">
        <f t="shared" si="12"/>
        <v>0.33643533683852272</v>
      </c>
      <c r="U53" s="498">
        <f t="shared" si="8"/>
        <v>336.43533683852269</v>
      </c>
      <c r="V53" s="488">
        <v>100</v>
      </c>
      <c r="W53" s="384">
        <v>15.605603448275865</v>
      </c>
      <c r="X53" s="407">
        <f t="shared" si="9"/>
        <v>21.558623987442964</v>
      </c>
      <c r="Y53" s="385"/>
      <c r="Z53" s="383"/>
    </row>
    <row r="54" spans="1:26" ht="14.4" x14ac:dyDescent="0.3">
      <c r="A54" s="391" t="s">
        <v>62</v>
      </c>
      <c r="B54" s="413">
        <v>9.1399997472763062E-2</v>
      </c>
      <c r="C54" s="383">
        <v>8.8699996471405029E-2</v>
      </c>
      <c r="D54" s="411">
        <v>8.8100001215934753E-2</v>
      </c>
      <c r="E54" s="460"/>
      <c r="F54" s="460"/>
      <c r="G54" s="460"/>
      <c r="H54" s="460"/>
      <c r="I54" s="460"/>
      <c r="J54" s="460"/>
      <c r="K54" s="460"/>
      <c r="L54" s="460"/>
      <c r="M54" s="460"/>
      <c r="P54" s="500"/>
      <c r="Q54" s="494"/>
      <c r="R54" s="494"/>
      <c r="S54" s="493"/>
      <c r="T54" s="496"/>
      <c r="U54" s="501"/>
      <c r="V54" s="493"/>
      <c r="W54" s="496"/>
      <c r="X54" s="497"/>
      <c r="Y54" s="385"/>
      <c r="Z54" s="383"/>
    </row>
    <row r="55" spans="1:26" ht="14.4" x14ac:dyDescent="0.3">
      <c r="A55" s="391" t="s">
        <v>63</v>
      </c>
      <c r="B55" s="408">
        <v>6.6500000655651093E-2</v>
      </c>
      <c r="C55" s="409">
        <v>6.9399997591972351E-2</v>
      </c>
      <c r="D55" s="410">
        <v>6.1900001019239426E-2</v>
      </c>
      <c r="E55" s="460"/>
      <c r="F55" s="460"/>
      <c r="G55" s="460"/>
      <c r="H55" s="460"/>
      <c r="I55" s="460"/>
      <c r="J55" s="460"/>
      <c r="K55" s="460"/>
      <c r="L55" s="460"/>
      <c r="M55" s="460"/>
      <c r="P55" s="500"/>
      <c r="Q55" s="494"/>
      <c r="R55" s="494"/>
      <c r="S55" s="493"/>
      <c r="T55" s="493"/>
      <c r="U55" s="501"/>
      <c r="V55" s="493"/>
      <c r="W55" s="496"/>
      <c r="X55" s="497"/>
      <c r="Y55" s="383"/>
      <c r="Z55" s="383"/>
    </row>
    <row r="56" spans="1:26" ht="14.4" x14ac:dyDescent="0.3">
      <c r="A56" s="422"/>
      <c r="B56" s="423"/>
      <c r="P56" s="427"/>
      <c r="Q56" s="405"/>
      <c r="R56" s="405"/>
      <c r="W56" s="384"/>
      <c r="X56" s="385"/>
      <c r="Y56" s="385"/>
      <c r="Z56" s="383"/>
    </row>
    <row r="57" spans="1:26" ht="14.4" x14ac:dyDescent="0.3">
      <c r="A57" s="422"/>
      <c r="P57" s="403" t="s">
        <v>136</v>
      </c>
      <c r="Q57" s="383">
        <f>AVERAGE(B49:D49)</f>
        <v>4.0900000681479774E-2</v>
      </c>
      <c r="R57" s="427"/>
      <c r="S57" s="384"/>
      <c r="T57" s="383"/>
      <c r="U57" s="383"/>
      <c r="V57" s="427"/>
      <c r="W57" s="384"/>
      <c r="Y57" s="383"/>
      <c r="Z57" s="383"/>
    </row>
    <row r="58" spans="1:26" ht="31.2" customHeight="1" x14ac:dyDescent="0.3">
      <c r="A58" s="391" t="s">
        <v>134</v>
      </c>
      <c r="B58" s="391">
        <v>1</v>
      </c>
      <c r="C58" s="391">
        <v>2</v>
      </c>
      <c r="D58" s="391">
        <v>3</v>
      </c>
      <c r="E58" s="391">
        <v>4</v>
      </c>
      <c r="F58" s="391">
        <v>5</v>
      </c>
      <c r="G58" s="391">
        <v>6</v>
      </c>
      <c r="H58" s="391">
        <v>7</v>
      </c>
      <c r="I58" s="391">
        <v>8</v>
      </c>
      <c r="J58" s="391">
        <v>9</v>
      </c>
      <c r="K58" s="391">
        <v>10</v>
      </c>
      <c r="L58" s="391">
        <v>11</v>
      </c>
      <c r="M58" s="391">
        <v>12</v>
      </c>
      <c r="P58" s="466" t="s">
        <v>138</v>
      </c>
      <c r="Q58" s="383">
        <f>AVERAGE(B48,D48)</f>
        <v>0.40330000221729279</v>
      </c>
      <c r="R58" s="427"/>
      <c r="S58" s="384"/>
      <c r="T58" s="383"/>
      <c r="U58" s="383"/>
      <c r="V58" s="427"/>
      <c r="W58" s="384"/>
      <c r="Y58" s="383"/>
      <c r="Z58" s="383"/>
    </row>
    <row r="59" spans="1:26" ht="14.4" x14ac:dyDescent="0.3">
      <c r="A59" s="391" t="s">
        <v>56</v>
      </c>
      <c r="B59" s="467" t="s">
        <v>146</v>
      </c>
      <c r="C59" s="465"/>
      <c r="D59" s="468"/>
      <c r="E59" s="467" t="s">
        <v>142</v>
      </c>
      <c r="F59" s="465" t="s">
        <v>175</v>
      </c>
      <c r="G59" s="465" t="s">
        <v>143</v>
      </c>
      <c r="H59" s="465" t="s">
        <v>175</v>
      </c>
      <c r="I59" s="465" t="s">
        <v>150</v>
      </c>
      <c r="J59" s="465" t="s">
        <v>175</v>
      </c>
      <c r="K59" s="465" t="s">
        <v>152</v>
      </c>
      <c r="L59" s="468" t="s">
        <v>175</v>
      </c>
      <c r="M59" s="460"/>
      <c r="P59" s="384"/>
      <c r="Q59" s="469" t="s">
        <v>189</v>
      </c>
      <c r="R59" s="470" t="s">
        <v>190</v>
      </c>
      <c r="S59" s="470" t="s">
        <v>192</v>
      </c>
      <c r="T59" s="470" t="s">
        <v>170</v>
      </c>
      <c r="U59" s="447"/>
      <c r="V59" s="427"/>
      <c r="W59" s="384"/>
      <c r="Y59" s="383"/>
      <c r="Z59" s="383"/>
    </row>
    <row r="60" spans="1:26" ht="14.4" x14ac:dyDescent="0.3">
      <c r="A60" s="391" t="s">
        <v>57</v>
      </c>
      <c r="B60" s="471" t="s">
        <v>51</v>
      </c>
      <c r="C60" s="427"/>
      <c r="D60" s="472"/>
      <c r="E60" s="473" t="s">
        <v>78</v>
      </c>
      <c r="F60" s="474" t="s">
        <v>175</v>
      </c>
      <c r="G60" s="474" t="s">
        <v>154</v>
      </c>
      <c r="H60" s="474" t="s">
        <v>175</v>
      </c>
      <c r="I60" s="474" t="s">
        <v>80</v>
      </c>
      <c r="J60" s="474" t="s">
        <v>175</v>
      </c>
      <c r="K60" s="474" t="s">
        <v>157</v>
      </c>
      <c r="L60" s="475" t="s">
        <v>175</v>
      </c>
      <c r="M60" s="460"/>
      <c r="P60" s="384"/>
      <c r="Q60" s="469"/>
      <c r="R60" s="470"/>
      <c r="S60" s="470"/>
      <c r="T60" s="470"/>
      <c r="U60" s="447"/>
      <c r="V60" s="427"/>
      <c r="W60" s="384"/>
      <c r="Y60" s="383"/>
      <c r="Z60" s="383"/>
    </row>
    <row r="61" spans="1:26" ht="14.4" x14ac:dyDescent="0.3">
      <c r="A61" s="391" t="s">
        <v>58</v>
      </c>
      <c r="B61" s="471" t="s">
        <v>147</v>
      </c>
      <c r="C61" s="427"/>
      <c r="D61" s="472"/>
      <c r="E61" s="476" t="s">
        <v>149</v>
      </c>
      <c r="F61" s="476" t="s">
        <v>176</v>
      </c>
      <c r="G61" s="476" t="s">
        <v>150</v>
      </c>
      <c r="H61" s="476" t="s">
        <v>176</v>
      </c>
      <c r="I61" s="476" t="s">
        <v>152</v>
      </c>
      <c r="J61" s="476" t="s">
        <v>176</v>
      </c>
      <c r="K61" s="476" t="s">
        <v>78</v>
      </c>
      <c r="L61" s="477" t="s">
        <v>176</v>
      </c>
      <c r="M61" s="460"/>
      <c r="Q61" s="469"/>
      <c r="R61" s="470"/>
      <c r="S61" s="470"/>
      <c r="T61" s="470"/>
      <c r="U61" s="447"/>
      <c r="Y61" s="383"/>
      <c r="Z61" s="383"/>
    </row>
    <row r="62" spans="1:26" ht="15" thickBot="1" x14ac:dyDescent="0.35">
      <c r="A62" s="391" t="s">
        <v>59</v>
      </c>
      <c r="B62" s="471" t="s">
        <v>148</v>
      </c>
      <c r="C62" s="427"/>
      <c r="D62" s="472"/>
      <c r="E62" s="476" t="s">
        <v>153</v>
      </c>
      <c r="F62" s="476" t="s">
        <v>176</v>
      </c>
      <c r="G62" s="476" t="s">
        <v>154</v>
      </c>
      <c r="H62" s="476" t="s">
        <v>176</v>
      </c>
      <c r="I62" s="476" t="s">
        <v>79</v>
      </c>
      <c r="J62" s="476" t="s">
        <v>176</v>
      </c>
      <c r="K62" s="478" t="s">
        <v>80</v>
      </c>
      <c r="L62" s="479" t="s">
        <v>176</v>
      </c>
      <c r="M62" s="460"/>
      <c r="P62" s="383" t="s">
        <v>171</v>
      </c>
      <c r="Q62" s="383">
        <f>AVERAGE(B48,D48)</f>
        <v>0.40330000221729279</v>
      </c>
      <c r="R62" s="383">
        <f>Q62-$Q$69</f>
        <v>0.36240000153581303</v>
      </c>
      <c r="S62" s="383">
        <v>0</v>
      </c>
      <c r="T62" s="383">
        <f>Q62/Q62</f>
        <v>1</v>
      </c>
      <c r="U62" s="383"/>
      <c r="Y62" s="383"/>
      <c r="Z62" s="383"/>
    </row>
    <row r="63" spans="1:26" ht="14.4" x14ac:dyDescent="0.3">
      <c r="A63" s="391" t="s">
        <v>60</v>
      </c>
      <c r="B63" s="471" t="s">
        <v>151</v>
      </c>
      <c r="C63" s="427"/>
      <c r="D63" s="472"/>
      <c r="E63" s="480" t="s">
        <v>81</v>
      </c>
      <c r="F63" s="476" t="s">
        <v>176</v>
      </c>
      <c r="G63" s="478" t="s">
        <v>156</v>
      </c>
      <c r="H63" s="476" t="s">
        <v>176</v>
      </c>
      <c r="I63" s="478" t="s">
        <v>87</v>
      </c>
      <c r="J63" s="476" t="s">
        <v>176</v>
      </c>
      <c r="K63" s="481" t="s">
        <v>177</v>
      </c>
      <c r="L63" s="482"/>
      <c r="M63" s="460"/>
      <c r="O63" s="427"/>
      <c r="P63" s="448" t="s">
        <v>147</v>
      </c>
      <c r="Q63" s="383">
        <f t="shared" ref="Q63:Q68" si="13">AVERAGE(B50:D50)</f>
        <v>0.30190000931421918</v>
      </c>
      <c r="R63" s="383">
        <f>Q63-$Q$69</f>
        <v>0.26100000863273942</v>
      </c>
      <c r="S63" s="449">
        <v>0.03</v>
      </c>
      <c r="T63" s="450">
        <f t="shared" ref="T63:T68" si="14">$R$62/R63</f>
        <v>1.388505707085077</v>
      </c>
      <c r="U63" s="383"/>
      <c r="V63" s="427"/>
      <c r="W63" s="448"/>
      <c r="Y63" s="383"/>
      <c r="Z63" s="383"/>
    </row>
    <row r="64" spans="1:26" ht="14.4" x14ac:dyDescent="0.3">
      <c r="A64" s="391" t="s">
        <v>61</v>
      </c>
      <c r="B64" s="471" t="s">
        <v>155</v>
      </c>
      <c r="C64" s="427"/>
      <c r="D64" s="472"/>
      <c r="E64" s="481" t="s">
        <v>177</v>
      </c>
      <c r="F64" s="483"/>
      <c r="G64" s="483" t="s">
        <v>178</v>
      </c>
      <c r="H64" s="483"/>
      <c r="I64" s="483" t="s">
        <v>179</v>
      </c>
      <c r="J64" s="482"/>
      <c r="K64" s="484"/>
      <c r="L64" s="460"/>
      <c r="M64" s="460"/>
      <c r="O64" s="427"/>
      <c r="P64" s="448" t="s">
        <v>148</v>
      </c>
      <c r="Q64" s="383">
        <f t="shared" si="13"/>
        <v>0.23649999996026358</v>
      </c>
      <c r="R64" s="383">
        <f t="shared" ref="R64:R69" si="15">Q64-$Q$69</f>
        <v>0.1955999992787838</v>
      </c>
      <c r="S64" s="451">
        <v>0.06</v>
      </c>
      <c r="T64" s="452">
        <f t="shared" si="14"/>
        <v>1.8527607508796222</v>
      </c>
      <c r="U64" s="383"/>
      <c r="V64" s="427"/>
      <c r="W64" s="448"/>
      <c r="Y64" s="383"/>
      <c r="Z64" s="383"/>
    </row>
    <row r="65" spans="1:26" ht="14.4" x14ac:dyDescent="0.3">
      <c r="A65" s="391" t="s">
        <v>62</v>
      </c>
      <c r="B65" s="471" t="s">
        <v>158</v>
      </c>
      <c r="C65" s="427"/>
      <c r="D65" s="472"/>
      <c r="E65" s="484"/>
      <c r="F65" s="484"/>
      <c r="G65" s="484"/>
      <c r="H65" s="484"/>
      <c r="I65" s="484"/>
      <c r="J65" s="484"/>
      <c r="K65" s="484"/>
      <c r="L65" s="460"/>
      <c r="M65" s="460"/>
      <c r="O65" s="427"/>
      <c r="P65" s="448" t="s">
        <v>151</v>
      </c>
      <c r="Q65" s="383">
        <f t="shared" si="13"/>
        <v>0.18103333314259848</v>
      </c>
      <c r="R65" s="383">
        <f t="shared" si="15"/>
        <v>0.1401333324611187</v>
      </c>
      <c r="S65" s="451">
        <v>0.09</v>
      </c>
      <c r="T65" s="452">
        <f t="shared" si="14"/>
        <v>2.5861084951816462</v>
      </c>
      <c r="U65" s="383"/>
      <c r="V65" s="427"/>
      <c r="W65" s="448"/>
      <c r="Y65" s="383"/>
      <c r="Z65" s="383"/>
    </row>
    <row r="66" spans="1:26" ht="14.4" x14ac:dyDescent="0.3">
      <c r="A66" s="391" t="s">
        <v>63</v>
      </c>
      <c r="B66" s="473" t="s">
        <v>164</v>
      </c>
      <c r="C66" s="474"/>
      <c r="D66" s="475"/>
      <c r="E66" s="460"/>
      <c r="F66" s="460"/>
      <c r="G66" s="460"/>
      <c r="H66" s="460"/>
      <c r="I66" s="460"/>
      <c r="J66" s="460"/>
      <c r="K66" s="460"/>
      <c r="L66" s="460"/>
      <c r="M66" s="460"/>
      <c r="O66" s="427"/>
      <c r="P66" s="448" t="s">
        <v>155</v>
      </c>
      <c r="Q66" s="383">
        <f t="shared" si="13"/>
        <v>0.13019999861717224</v>
      </c>
      <c r="R66" s="383">
        <f t="shared" si="15"/>
        <v>8.929999793569246E-2</v>
      </c>
      <c r="S66" s="451">
        <v>0.15</v>
      </c>
      <c r="T66" s="452">
        <f t="shared" si="14"/>
        <v>4.0582307941013376</v>
      </c>
      <c r="U66" s="383"/>
      <c r="V66" s="427"/>
      <c r="W66" s="448"/>
      <c r="Y66" s="383"/>
      <c r="Z66" s="383"/>
    </row>
    <row r="67" spans="1:26" x14ac:dyDescent="0.25">
      <c r="P67" s="448" t="s">
        <v>158</v>
      </c>
      <c r="Q67" s="383">
        <f t="shared" si="13"/>
        <v>8.9399998386700943E-2</v>
      </c>
      <c r="R67" s="383">
        <f t="shared" si="15"/>
        <v>4.8499997705221169E-2</v>
      </c>
      <c r="S67" s="451">
        <v>0.3</v>
      </c>
      <c r="T67" s="452">
        <f t="shared" si="14"/>
        <v>7.472165333665564</v>
      </c>
      <c r="U67" s="383"/>
      <c r="Y67" s="383"/>
      <c r="Z67" s="383"/>
    </row>
    <row r="68" spans="1:26" ht="13.8" thickBot="1" x14ac:dyDescent="0.3">
      <c r="D68" s="440"/>
      <c r="E68" s="440"/>
      <c r="F68" s="427"/>
      <c r="G68" s="384"/>
      <c r="H68" s="427"/>
      <c r="I68" s="384"/>
      <c r="J68" s="427"/>
      <c r="K68" s="384"/>
      <c r="L68" s="427"/>
      <c r="M68" s="384"/>
      <c r="P68" s="448" t="s">
        <v>164</v>
      </c>
      <c r="Q68" s="383">
        <f t="shared" si="13"/>
        <v>6.5933333088954285E-2</v>
      </c>
      <c r="R68" s="383">
        <f t="shared" si="15"/>
        <v>2.5033332407474511E-2</v>
      </c>
      <c r="S68" s="453">
        <v>0.6</v>
      </c>
      <c r="T68" s="454">
        <f t="shared" si="14"/>
        <v>14.476698333123512</v>
      </c>
      <c r="U68" s="383"/>
      <c r="Y68" s="383"/>
      <c r="Z68" s="383"/>
    </row>
    <row r="69" spans="1:26" x14ac:dyDescent="0.25">
      <c r="O69" s="427"/>
      <c r="P69" s="448" t="s">
        <v>51</v>
      </c>
      <c r="Q69" s="383">
        <f>AVERAGE(B49:D49)</f>
        <v>4.0900000681479774E-2</v>
      </c>
      <c r="R69" s="383">
        <f t="shared" si="15"/>
        <v>0</v>
      </c>
      <c r="T69" s="383"/>
      <c r="U69" s="383"/>
      <c r="Y69" s="383"/>
      <c r="Z69" s="383"/>
    </row>
    <row r="70" spans="1:26" x14ac:dyDescent="0.25">
      <c r="A70" s="443"/>
      <c r="B70" s="444"/>
      <c r="C70" s="444"/>
      <c r="D70" s="444"/>
      <c r="E70" s="444"/>
      <c r="F70" s="444"/>
      <c r="G70" s="444"/>
      <c r="H70" s="444"/>
      <c r="I70" s="444"/>
      <c r="J70" s="444"/>
      <c r="K70" s="444"/>
      <c r="L70" s="444"/>
      <c r="M70" s="444"/>
      <c r="O70" s="427"/>
      <c r="T70" s="383"/>
      <c r="U70" s="383"/>
      <c r="Y70" s="383"/>
      <c r="Z70" s="383"/>
    </row>
    <row r="71" spans="1:26" ht="14.4" x14ac:dyDescent="0.3">
      <c r="A71" s="422"/>
      <c r="B71" s="422"/>
      <c r="C71" s="422"/>
      <c r="D71" s="386"/>
      <c r="E71" s="386"/>
      <c r="F71" s="386"/>
      <c r="G71" s="386"/>
      <c r="H71" s="386"/>
      <c r="I71" s="386"/>
      <c r="J71" s="386"/>
      <c r="K71" s="386"/>
      <c r="L71" s="386"/>
      <c r="M71" s="386"/>
      <c r="O71" s="427"/>
      <c r="T71" s="383"/>
      <c r="U71" s="383"/>
      <c r="Y71" s="383"/>
      <c r="Z71" s="383"/>
    </row>
    <row r="72" spans="1:26" ht="14.4" x14ac:dyDescent="0.3">
      <c r="A72" s="422"/>
      <c r="D72" s="386"/>
      <c r="E72" s="386"/>
      <c r="F72" s="386"/>
      <c r="G72" s="386"/>
      <c r="H72" s="386"/>
      <c r="I72" s="386"/>
      <c r="J72" s="386"/>
      <c r="K72" s="386"/>
      <c r="L72" s="386"/>
      <c r="M72" s="386"/>
      <c r="O72" s="427"/>
      <c r="T72" s="383"/>
      <c r="U72" s="383"/>
      <c r="W72" s="455" t="s">
        <v>172</v>
      </c>
      <c r="X72" s="383">
        <f>SLOPE(T63:T68,S63:S68)</f>
        <v>23.163372268912294</v>
      </c>
      <c r="Y72" s="383"/>
      <c r="Z72" s="383"/>
    </row>
    <row r="73" spans="1:26" ht="14.4" x14ac:dyDescent="0.3">
      <c r="A73" s="422"/>
      <c r="F73" s="422"/>
      <c r="T73" s="383"/>
      <c r="U73" s="383"/>
      <c r="W73" s="455" t="s">
        <v>173</v>
      </c>
      <c r="X73" s="383">
        <f>INTERCEPT(T63:T68,S63:S68)</f>
        <v>0.55725358721243978</v>
      </c>
      <c r="Y73" s="383"/>
      <c r="Z73" s="383"/>
    </row>
    <row r="74" spans="1:26" ht="14.4" x14ac:dyDescent="0.3">
      <c r="A74" s="422"/>
      <c r="F74" s="422"/>
      <c r="T74" s="383"/>
      <c r="U74" s="383"/>
      <c r="Y74" s="383"/>
      <c r="Z74" s="383"/>
    </row>
  </sheetData>
  <mergeCells count="67">
    <mergeCell ref="D68:E68"/>
    <mergeCell ref="AG3:AH3"/>
    <mergeCell ref="AI3:AJ3"/>
    <mergeCell ref="AK3:AL3"/>
    <mergeCell ref="P45:Y45"/>
    <mergeCell ref="A46:M46"/>
    <mergeCell ref="Q59:Q61"/>
    <mergeCell ref="R59:R61"/>
    <mergeCell ref="S59:S61"/>
    <mergeCell ref="T59:T61"/>
    <mergeCell ref="D24:E24"/>
    <mergeCell ref="C27:C31"/>
    <mergeCell ref="D27:D31"/>
    <mergeCell ref="E27:E31"/>
    <mergeCell ref="F27:F31"/>
    <mergeCell ref="A43:M4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R1:Z1"/>
    <mergeCell ref="A2:M2"/>
    <mergeCell ref="O5:O7"/>
    <mergeCell ref="B15:C15"/>
    <mergeCell ref="D15:E15"/>
    <mergeCell ref="F15:G15"/>
    <mergeCell ref="H15:I15"/>
    <mergeCell ref="J15:K15"/>
    <mergeCell ref="L15:M15"/>
  </mergeCells>
  <conditionalFormatting sqref="V43 G27:G42">
    <cfRule type="cellIs" dxfId="10" priority="11" stopIfTrue="1" operator="between">
      <formula>0.03</formula>
      <formula>0.6</formula>
    </cfRule>
  </conditionalFormatting>
  <conditionalFormatting sqref="S3:S40">
    <cfRule type="cellIs" dxfId="9" priority="10" stopIfTrue="1" operator="between">
      <formula>$B$11</formula>
      <formula>$C$6</formula>
    </cfRule>
  </conditionalFormatting>
  <conditionalFormatting sqref="V3:V40">
    <cfRule type="cellIs" dxfId="8" priority="9" stopIfTrue="1" operator="between">
      <formula>$E$33</formula>
      <formula>$E$38</formula>
    </cfRule>
  </conditionalFormatting>
  <conditionalFormatting sqref="U44 U57:U73">
    <cfRule type="cellIs" dxfId="7" priority="8" stopIfTrue="1" operator="between">
      <formula>0.03</formula>
      <formula>0.6</formula>
    </cfRule>
  </conditionalFormatting>
  <conditionalFormatting sqref="T47:T53">
    <cfRule type="cellIs" dxfId="4" priority="4" stopIfTrue="1" operator="between">
      <formula>$S$63</formula>
      <formula>$S$68</formula>
    </cfRule>
    <cfRule type="cellIs" dxfId="3" priority="5" stopIfTrue="1" operator="between">
      <formula>$S$61</formula>
      <formula>$S$66</formula>
    </cfRule>
  </conditionalFormatting>
  <conditionalFormatting sqref="Q47:Q54">
    <cfRule type="cellIs" dxfId="2" priority="3" stopIfTrue="1" operator="between">
      <formula>$Q$63</formula>
      <formula>$Q$68</formula>
    </cfRule>
  </conditionalFormatting>
  <conditionalFormatting sqref="V2">
    <cfRule type="cellIs" dxfId="1" priority="2" stopIfTrue="1" operator="between">
      <formula>0.03</formula>
      <formula>0.6</formula>
    </cfRule>
  </conditionalFormatting>
  <conditionalFormatting sqref="T46">
    <cfRule type="cellIs" dxfId="0" priority="1" stopIfTrue="1" operator="between">
      <formula>0.03</formula>
      <formula>0.6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4652-B78A-45BD-BBEB-A62041E59B94}">
  <dimension ref="A1:B22"/>
  <sheetViews>
    <sheetView workbookViewId="0">
      <selection activeCell="F15" sqref="F15"/>
    </sheetView>
  </sheetViews>
  <sheetFormatPr defaultRowHeight="13.2" x14ac:dyDescent="0.25"/>
  <cols>
    <col min="1" max="1" width="14.109375" style="383" bestFit="1" customWidth="1"/>
    <col min="2" max="2" width="15.33203125" style="383" customWidth="1"/>
    <col min="3" max="256" width="8.88671875" style="383"/>
    <col min="257" max="257" width="14.109375" style="383" bestFit="1" customWidth="1"/>
    <col min="258" max="258" width="15.33203125" style="383" customWidth="1"/>
    <col min="259" max="512" width="8.88671875" style="383"/>
    <col min="513" max="513" width="14.109375" style="383" bestFit="1" customWidth="1"/>
    <col min="514" max="514" width="15.33203125" style="383" customWidth="1"/>
    <col min="515" max="768" width="8.88671875" style="383"/>
    <col min="769" max="769" width="14.109375" style="383" bestFit="1" customWidth="1"/>
    <col min="770" max="770" width="15.33203125" style="383" customWidth="1"/>
    <col min="771" max="1024" width="8.88671875" style="383"/>
    <col min="1025" max="1025" width="14.109375" style="383" bestFit="1" customWidth="1"/>
    <col min="1026" max="1026" width="15.33203125" style="383" customWidth="1"/>
    <col min="1027" max="1280" width="8.88671875" style="383"/>
    <col min="1281" max="1281" width="14.109375" style="383" bestFit="1" customWidth="1"/>
    <col min="1282" max="1282" width="15.33203125" style="383" customWidth="1"/>
    <col min="1283" max="1536" width="8.88671875" style="383"/>
    <col min="1537" max="1537" width="14.109375" style="383" bestFit="1" customWidth="1"/>
    <col min="1538" max="1538" width="15.33203125" style="383" customWidth="1"/>
    <col min="1539" max="1792" width="8.88671875" style="383"/>
    <col min="1793" max="1793" width="14.109375" style="383" bestFit="1" customWidth="1"/>
    <col min="1794" max="1794" width="15.33203125" style="383" customWidth="1"/>
    <col min="1795" max="2048" width="8.88671875" style="383"/>
    <col min="2049" max="2049" width="14.109375" style="383" bestFit="1" customWidth="1"/>
    <col min="2050" max="2050" width="15.33203125" style="383" customWidth="1"/>
    <col min="2051" max="2304" width="8.88671875" style="383"/>
    <col min="2305" max="2305" width="14.109375" style="383" bestFit="1" customWidth="1"/>
    <col min="2306" max="2306" width="15.33203125" style="383" customWidth="1"/>
    <col min="2307" max="2560" width="8.88671875" style="383"/>
    <col min="2561" max="2561" width="14.109375" style="383" bestFit="1" customWidth="1"/>
    <col min="2562" max="2562" width="15.33203125" style="383" customWidth="1"/>
    <col min="2563" max="2816" width="8.88671875" style="383"/>
    <col min="2817" max="2817" width="14.109375" style="383" bestFit="1" customWidth="1"/>
    <col min="2818" max="2818" width="15.33203125" style="383" customWidth="1"/>
    <col min="2819" max="3072" width="8.88671875" style="383"/>
    <col min="3073" max="3073" width="14.109375" style="383" bestFit="1" customWidth="1"/>
    <col min="3074" max="3074" width="15.33203125" style="383" customWidth="1"/>
    <col min="3075" max="3328" width="8.88671875" style="383"/>
    <col min="3329" max="3329" width="14.109375" style="383" bestFit="1" customWidth="1"/>
    <col min="3330" max="3330" width="15.33203125" style="383" customWidth="1"/>
    <col min="3331" max="3584" width="8.88671875" style="383"/>
    <col min="3585" max="3585" width="14.109375" style="383" bestFit="1" customWidth="1"/>
    <col min="3586" max="3586" width="15.33203125" style="383" customWidth="1"/>
    <col min="3587" max="3840" width="8.88671875" style="383"/>
    <col min="3841" max="3841" width="14.109375" style="383" bestFit="1" customWidth="1"/>
    <col min="3842" max="3842" width="15.33203125" style="383" customWidth="1"/>
    <col min="3843" max="4096" width="8.88671875" style="383"/>
    <col min="4097" max="4097" width="14.109375" style="383" bestFit="1" customWidth="1"/>
    <col min="4098" max="4098" width="15.33203125" style="383" customWidth="1"/>
    <col min="4099" max="4352" width="8.88671875" style="383"/>
    <col min="4353" max="4353" width="14.109375" style="383" bestFit="1" customWidth="1"/>
    <col min="4354" max="4354" width="15.33203125" style="383" customWidth="1"/>
    <col min="4355" max="4608" width="8.88671875" style="383"/>
    <col min="4609" max="4609" width="14.109375" style="383" bestFit="1" customWidth="1"/>
    <col min="4610" max="4610" width="15.33203125" style="383" customWidth="1"/>
    <col min="4611" max="4864" width="8.88671875" style="383"/>
    <col min="4865" max="4865" width="14.109375" style="383" bestFit="1" customWidth="1"/>
    <col min="4866" max="4866" width="15.33203125" style="383" customWidth="1"/>
    <col min="4867" max="5120" width="8.88671875" style="383"/>
    <col min="5121" max="5121" width="14.109375" style="383" bestFit="1" customWidth="1"/>
    <col min="5122" max="5122" width="15.33203125" style="383" customWidth="1"/>
    <col min="5123" max="5376" width="8.88671875" style="383"/>
    <col min="5377" max="5377" width="14.109375" style="383" bestFit="1" customWidth="1"/>
    <col min="5378" max="5378" width="15.33203125" style="383" customWidth="1"/>
    <col min="5379" max="5632" width="8.88671875" style="383"/>
    <col min="5633" max="5633" width="14.109375" style="383" bestFit="1" customWidth="1"/>
    <col min="5634" max="5634" width="15.33203125" style="383" customWidth="1"/>
    <col min="5635" max="5888" width="8.88671875" style="383"/>
    <col min="5889" max="5889" width="14.109375" style="383" bestFit="1" customWidth="1"/>
    <col min="5890" max="5890" width="15.33203125" style="383" customWidth="1"/>
    <col min="5891" max="6144" width="8.88671875" style="383"/>
    <col min="6145" max="6145" width="14.109375" style="383" bestFit="1" customWidth="1"/>
    <col min="6146" max="6146" width="15.33203125" style="383" customWidth="1"/>
    <col min="6147" max="6400" width="8.88671875" style="383"/>
    <col min="6401" max="6401" width="14.109375" style="383" bestFit="1" customWidth="1"/>
    <col min="6402" max="6402" width="15.33203125" style="383" customWidth="1"/>
    <col min="6403" max="6656" width="8.88671875" style="383"/>
    <col min="6657" max="6657" width="14.109375" style="383" bestFit="1" customWidth="1"/>
    <col min="6658" max="6658" width="15.33203125" style="383" customWidth="1"/>
    <col min="6659" max="6912" width="8.88671875" style="383"/>
    <col min="6913" max="6913" width="14.109375" style="383" bestFit="1" customWidth="1"/>
    <col min="6914" max="6914" width="15.33203125" style="383" customWidth="1"/>
    <col min="6915" max="7168" width="8.88671875" style="383"/>
    <col min="7169" max="7169" width="14.109375" style="383" bestFit="1" customWidth="1"/>
    <col min="7170" max="7170" width="15.33203125" style="383" customWidth="1"/>
    <col min="7171" max="7424" width="8.88671875" style="383"/>
    <col min="7425" max="7425" width="14.109375" style="383" bestFit="1" customWidth="1"/>
    <col min="7426" max="7426" width="15.33203125" style="383" customWidth="1"/>
    <col min="7427" max="7680" width="8.88671875" style="383"/>
    <col min="7681" max="7681" width="14.109375" style="383" bestFit="1" customWidth="1"/>
    <col min="7682" max="7682" width="15.33203125" style="383" customWidth="1"/>
    <col min="7683" max="7936" width="8.88671875" style="383"/>
    <col min="7937" max="7937" width="14.109375" style="383" bestFit="1" customWidth="1"/>
    <col min="7938" max="7938" width="15.33203125" style="383" customWidth="1"/>
    <col min="7939" max="8192" width="8.88671875" style="383"/>
    <col min="8193" max="8193" width="14.109375" style="383" bestFit="1" customWidth="1"/>
    <col min="8194" max="8194" width="15.33203125" style="383" customWidth="1"/>
    <col min="8195" max="8448" width="8.88671875" style="383"/>
    <col min="8449" max="8449" width="14.109375" style="383" bestFit="1" customWidth="1"/>
    <col min="8450" max="8450" width="15.33203125" style="383" customWidth="1"/>
    <col min="8451" max="8704" width="8.88671875" style="383"/>
    <col min="8705" max="8705" width="14.109375" style="383" bestFit="1" customWidth="1"/>
    <col min="8706" max="8706" width="15.33203125" style="383" customWidth="1"/>
    <col min="8707" max="8960" width="8.88671875" style="383"/>
    <col min="8961" max="8961" width="14.109375" style="383" bestFit="1" customWidth="1"/>
    <col min="8962" max="8962" width="15.33203125" style="383" customWidth="1"/>
    <col min="8963" max="9216" width="8.88671875" style="383"/>
    <col min="9217" max="9217" width="14.109375" style="383" bestFit="1" customWidth="1"/>
    <col min="9218" max="9218" width="15.33203125" style="383" customWidth="1"/>
    <col min="9219" max="9472" width="8.88671875" style="383"/>
    <col min="9473" max="9473" width="14.109375" style="383" bestFit="1" customWidth="1"/>
    <col min="9474" max="9474" width="15.33203125" style="383" customWidth="1"/>
    <col min="9475" max="9728" width="8.88671875" style="383"/>
    <col min="9729" max="9729" width="14.109375" style="383" bestFit="1" customWidth="1"/>
    <col min="9730" max="9730" width="15.33203125" style="383" customWidth="1"/>
    <col min="9731" max="9984" width="8.88671875" style="383"/>
    <col min="9985" max="9985" width="14.109375" style="383" bestFit="1" customWidth="1"/>
    <col min="9986" max="9986" width="15.33203125" style="383" customWidth="1"/>
    <col min="9987" max="10240" width="8.88671875" style="383"/>
    <col min="10241" max="10241" width="14.109375" style="383" bestFit="1" customWidth="1"/>
    <col min="10242" max="10242" width="15.33203125" style="383" customWidth="1"/>
    <col min="10243" max="10496" width="8.88671875" style="383"/>
    <col min="10497" max="10497" width="14.109375" style="383" bestFit="1" customWidth="1"/>
    <col min="10498" max="10498" width="15.33203125" style="383" customWidth="1"/>
    <col min="10499" max="10752" width="8.88671875" style="383"/>
    <col min="10753" max="10753" width="14.109375" style="383" bestFit="1" customWidth="1"/>
    <col min="10754" max="10754" width="15.33203125" style="383" customWidth="1"/>
    <col min="10755" max="11008" width="8.88671875" style="383"/>
    <col min="11009" max="11009" width="14.109375" style="383" bestFit="1" customWidth="1"/>
    <col min="11010" max="11010" width="15.33203125" style="383" customWidth="1"/>
    <col min="11011" max="11264" width="8.88671875" style="383"/>
    <col min="11265" max="11265" width="14.109375" style="383" bestFit="1" customWidth="1"/>
    <col min="11266" max="11266" width="15.33203125" style="383" customWidth="1"/>
    <col min="11267" max="11520" width="8.88671875" style="383"/>
    <col min="11521" max="11521" width="14.109375" style="383" bestFit="1" customWidth="1"/>
    <col min="11522" max="11522" width="15.33203125" style="383" customWidth="1"/>
    <col min="11523" max="11776" width="8.88671875" style="383"/>
    <col min="11777" max="11777" width="14.109375" style="383" bestFit="1" customWidth="1"/>
    <col min="11778" max="11778" width="15.33203125" style="383" customWidth="1"/>
    <col min="11779" max="12032" width="8.88671875" style="383"/>
    <col min="12033" max="12033" width="14.109375" style="383" bestFit="1" customWidth="1"/>
    <col min="12034" max="12034" width="15.33203125" style="383" customWidth="1"/>
    <col min="12035" max="12288" width="8.88671875" style="383"/>
    <col min="12289" max="12289" width="14.109375" style="383" bestFit="1" customWidth="1"/>
    <col min="12290" max="12290" width="15.33203125" style="383" customWidth="1"/>
    <col min="12291" max="12544" width="8.88671875" style="383"/>
    <col min="12545" max="12545" width="14.109375" style="383" bestFit="1" customWidth="1"/>
    <col min="12546" max="12546" width="15.33203125" style="383" customWidth="1"/>
    <col min="12547" max="12800" width="8.88671875" style="383"/>
    <col min="12801" max="12801" width="14.109375" style="383" bestFit="1" customWidth="1"/>
    <col min="12802" max="12802" width="15.33203125" style="383" customWidth="1"/>
    <col min="12803" max="13056" width="8.88671875" style="383"/>
    <col min="13057" max="13057" width="14.109375" style="383" bestFit="1" customWidth="1"/>
    <col min="13058" max="13058" width="15.33203125" style="383" customWidth="1"/>
    <col min="13059" max="13312" width="8.88671875" style="383"/>
    <col min="13313" max="13313" width="14.109375" style="383" bestFit="1" customWidth="1"/>
    <col min="13314" max="13314" width="15.33203125" style="383" customWidth="1"/>
    <col min="13315" max="13568" width="8.88671875" style="383"/>
    <col min="13569" max="13569" width="14.109375" style="383" bestFit="1" customWidth="1"/>
    <col min="13570" max="13570" width="15.33203125" style="383" customWidth="1"/>
    <col min="13571" max="13824" width="8.88671875" style="383"/>
    <col min="13825" max="13825" width="14.109375" style="383" bestFit="1" customWidth="1"/>
    <col min="13826" max="13826" width="15.33203125" style="383" customWidth="1"/>
    <col min="13827" max="14080" width="8.88671875" style="383"/>
    <col min="14081" max="14081" width="14.109375" style="383" bestFit="1" customWidth="1"/>
    <col min="14082" max="14082" width="15.33203125" style="383" customWidth="1"/>
    <col min="14083" max="14336" width="8.88671875" style="383"/>
    <col min="14337" max="14337" width="14.109375" style="383" bestFit="1" customWidth="1"/>
    <col min="14338" max="14338" width="15.33203125" style="383" customWidth="1"/>
    <col min="14339" max="14592" width="8.88671875" style="383"/>
    <col min="14593" max="14593" width="14.109375" style="383" bestFit="1" customWidth="1"/>
    <col min="14594" max="14594" width="15.33203125" style="383" customWidth="1"/>
    <col min="14595" max="14848" width="8.88671875" style="383"/>
    <col min="14849" max="14849" width="14.109375" style="383" bestFit="1" customWidth="1"/>
    <col min="14850" max="14850" width="15.33203125" style="383" customWidth="1"/>
    <col min="14851" max="15104" width="8.88671875" style="383"/>
    <col min="15105" max="15105" width="14.109375" style="383" bestFit="1" customWidth="1"/>
    <col min="15106" max="15106" width="15.33203125" style="383" customWidth="1"/>
    <col min="15107" max="15360" width="8.88671875" style="383"/>
    <col min="15361" max="15361" width="14.109375" style="383" bestFit="1" customWidth="1"/>
    <col min="15362" max="15362" width="15.33203125" style="383" customWidth="1"/>
    <col min="15363" max="15616" width="8.88671875" style="383"/>
    <col min="15617" max="15617" width="14.109375" style="383" bestFit="1" customWidth="1"/>
    <col min="15618" max="15618" width="15.33203125" style="383" customWidth="1"/>
    <col min="15619" max="15872" width="8.88671875" style="383"/>
    <col min="15873" max="15873" width="14.109375" style="383" bestFit="1" customWidth="1"/>
    <col min="15874" max="15874" width="15.33203125" style="383" customWidth="1"/>
    <col min="15875" max="16128" width="8.88671875" style="383"/>
    <col min="16129" max="16129" width="14.109375" style="383" bestFit="1" customWidth="1"/>
    <col min="16130" max="16130" width="15.33203125" style="383" customWidth="1"/>
    <col min="16131" max="16384" width="8.88671875" style="383"/>
  </cols>
  <sheetData>
    <row r="1" spans="1:2" x14ac:dyDescent="0.25">
      <c r="A1" s="487" t="s">
        <v>91</v>
      </c>
      <c r="B1" s="487" t="s">
        <v>183</v>
      </c>
    </row>
    <row r="2" spans="1:2" x14ac:dyDescent="0.25">
      <c r="A2" s="383" t="s">
        <v>88</v>
      </c>
      <c r="B2" s="383">
        <v>15.43824871821244</v>
      </c>
    </row>
    <row r="3" spans="1:2" x14ac:dyDescent="0.25">
      <c r="A3" s="383" t="s">
        <v>88</v>
      </c>
      <c r="B3" s="383">
        <v>20.698002021878459</v>
      </c>
    </row>
    <row r="4" spans="1:2" x14ac:dyDescent="0.25">
      <c r="A4" s="383" t="s">
        <v>88</v>
      </c>
      <c r="B4" s="383">
        <v>16.001404379104894</v>
      </c>
    </row>
    <row r="5" spans="1:2" x14ac:dyDescent="0.25">
      <c r="A5" s="383" t="s">
        <v>88</v>
      </c>
      <c r="B5" s="383">
        <v>21.558623987442964</v>
      </c>
    </row>
    <row r="6" spans="1:2" x14ac:dyDescent="0.25">
      <c r="A6" s="383" t="s">
        <v>88</v>
      </c>
      <c r="B6" s="383">
        <v>14.452714625039338</v>
      </c>
    </row>
    <row r="7" spans="1:2" x14ac:dyDescent="0.25">
      <c r="A7" s="383" t="s">
        <v>88</v>
      </c>
      <c r="B7" s="383">
        <v>13.110105834279862</v>
      </c>
    </row>
    <row r="8" spans="1:2" x14ac:dyDescent="0.25">
      <c r="A8" s="383" t="s">
        <v>88</v>
      </c>
      <c r="B8" s="383">
        <v>15.522968432135292</v>
      </c>
    </row>
    <row r="9" spans="1:2" x14ac:dyDescent="0.25">
      <c r="A9" s="383" t="s">
        <v>89</v>
      </c>
      <c r="B9" s="383">
        <v>10.524650582218623</v>
      </c>
    </row>
    <row r="10" spans="1:2" x14ac:dyDescent="0.25">
      <c r="A10" s="383" t="s">
        <v>89</v>
      </c>
      <c r="B10" s="383">
        <v>15.163095176533702</v>
      </c>
    </row>
    <row r="11" spans="1:2" x14ac:dyDescent="0.25">
      <c r="A11" s="383" t="s">
        <v>89</v>
      </c>
      <c r="B11" s="383">
        <v>11.058539894094872</v>
      </c>
    </row>
    <row r="12" spans="1:2" x14ac:dyDescent="0.25">
      <c r="A12" s="383" t="s">
        <v>89</v>
      </c>
      <c r="B12" s="383">
        <v>8.9267637859480811</v>
      </c>
    </row>
    <row r="13" spans="1:2" x14ac:dyDescent="0.25">
      <c r="A13" s="383" t="s">
        <v>89</v>
      </c>
      <c r="B13" s="383">
        <v>10.26190446930223</v>
      </c>
    </row>
    <row r="14" spans="1:2" x14ac:dyDescent="0.25">
      <c r="A14" s="383" t="s">
        <v>89</v>
      </c>
      <c r="B14" s="383">
        <v>8.9395139910539925</v>
      </c>
    </row>
    <row r="15" spans="1:2" x14ac:dyDescent="0.25">
      <c r="A15" s="383" t="s">
        <v>89</v>
      </c>
      <c r="B15" s="383">
        <v>12.14139084903406</v>
      </c>
    </row>
    <row r="16" spans="1:2" x14ac:dyDescent="0.25">
      <c r="A16" s="383" t="s">
        <v>90</v>
      </c>
      <c r="B16" s="383">
        <v>9.9290283057377895</v>
      </c>
    </row>
    <row r="17" spans="1:2" x14ac:dyDescent="0.25">
      <c r="A17" s="383" t="s">
        <v>90</v>
      </c>
      <c r="B17" s="383">
        <v>9.2777815538603665</v>
      </c>
    </row>
    <row r="18" spans="1:2" x14ac:dyDescent="0.25">
      <c r="A18" s="383" t="s">
        <v>90</v>
      </c>
      <c r="B18" s="383">
        <v>9.0032168811269067</v>
      </c>
    </row>
    <row r="19" spans="1:2" x14ac:dyDescent="0.25">
      <c r="A19" s="383" t="s">
        <v>90</v>
      </c>
      <c r="B19" s="383">
        <v>7.9247507680777254</v>
      </c>
    </row>
    <row r="20" spans="1:2" x14ac:dyDescent="0.25">
      <c r="A20" s="383" t="s">
        <v>90</v>
      </c>
      <c r="B20" s="383">
        <v>10.031363071718285</v>
      </c>
    </row>
    <row r="21" spans="1:2" x14ac:dyDescent="0.25">
      <c r="A21" s="383" t="s">
        <v>90</v>
      </c>
      <c r="B21" s="383">
        <v>8.2196815051117031</v>
      </c>
    </row>
    <row r="22" spans="1:2" x14ac:dyDescent="0.25">
      <c r="A22" s="383" t="s">
        <v>90</v>
      </c>
      <c r="B22" s="383">
        <v>9.0725578057689535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B6799-B563-466C-B7E6-868E6A6D3E74}">
  <dimension ref="A1:Z93"/>
  <sheetViews>
    <sheetView zoomScale="55" zoomScaleNormal="55" workbookViewId="0">
      <selection activeCell="N7" sqref="N7"/>
    </sheetView>
  </sheetViews>
  <sheetFormatPr defaultColWidth="9.109375" defaultRowHeight="15" customHeight="1" x14ac:dyDescent="0.25"/>
  <cols>
    <col min="1" max="1" width="16.33203125" style="383" bestFit="1" customWidth="1"/>
    <col min="2" max="2" width="14.6640625" style="383" bestFit="1" customWidth="1"/>
    <col min="3" max="14" width="7.77734375" style="383" customWidth="1"/>
    <col min="15" max="15" width="23.5546875" style="383" customWidth="1"/>
    <col min="16" max="16" width="30" style="383" bestFit="1" customWidth="1"/>
    <col min="17" max="17" width="16.33203125" style="383" bestFit="1" customWidth="1"/>
    <col min="18" max="18" width="13.44140625" style="383" bestFit="1" customWidth="1"/>
    <col min="19" max="19" width="8" style="383" bestFit="1" customWidth="1"/>
    <col min="20" max="20" width="12" style="383" bestFit="1" customWidth="1"/>
    <col min="21" max="21" width="9.109375" style="383" bestFit="1" customWidth="1"/>
    <col min="22" max="22" width="9.109375" style="383"/>
    <col min="23" max="23" width="28.21875" style="383" bestFit="1" customWidth="1"/>
    <col min="24" max="24" width="21.5546875" style="383" bestFit="1" customWidth="1"/>
    <col min="25" max="25" width="13" style="383" bestFit="1" customWidth="1"/>
    <col min="26" max="26" width="27" style="383" bestFit="1" customWidth="1"/>
    <col min="27" max="27" width="10.88671875" style="383" bestFit="1" customWidth="1"/>
    <col min="28" max="16384" width="9.109375" style="383"/>
  </cols>
  <sheetData>
    <row r="1" spans="1:17" ht="15" customHeight="1" x14ac:dyDescent="0.25">
      <c r="B1" s="455" t="s">
        <v>126</v>
      </c>
      <c r="C1" s="486">
        <v>1</v>
      </c>
      <c r="D1" s="486">
        <v>2</v>
      </c>
      <c r="E1" s="486">
        <v>3</v>
      </c>
      <c r="F1" s="486">
        <v>4</v>
      </c>
      <c r="G1" s="486">
        <v>5</v>
      </c>
      <c r="H1" s="486">
        <v>6</v>
      </c>
      <c r="I1" s="486">
        <v>7</v>
      </c>
      <c r="J1" s="486">
        <v>8</v>
      </c>
      <c r="K1" s="486">
        <v>9</v>
      </c>
      <c r="L1" s="486">
        <v>10</v>
      </c>
      <c r="M1" s="486">
        <v>11</v>
      </c>
      <c r="N1" s="486">
        <v>12</v>
      </c>
      <c r="P1" s="383" t="s">
        <v>219</v>
      </c>
      <c r="Q1" s="383" t="s">
        <v>220</v>
      </c>
    </row>
    <row r="2" spans="1:17" ht="15" customHeight="1" x14ac:dyDescent="0.25">
      <c r="B2" s="455" t="s">
        <v>56</v>
      </c>
      <c r="C2" s="532" t="s">
        <v>51</v>
      </c>
      <c r="D2" s="533" t="s">
        <v>51</v>
      </c>
      <c r="E2" s="525" t="s">
        <v>135</v>
      </c>
      <c r="F2" s="526"/>
      <c r="G2" s="585" t="s">
        <v>145</v>
      </c>
      <c r="H2" s="585"/>
      <c r="I2" s="596" t="s">
        <v>76</v>
      </c>
      <c r="J2" s="597"/>
      <c r="K2" s="577" t="s">
        <v>79</v>
      </c>
      <c r="L2" s="577"/>
      <c r="M2" s="562"/>
      <c r="N2" s="562"/>
      <c r="P2" s="586" t="s">
        <v>135</v>
      </c>
      <c r="Q2" s="383">
        <v>8.7439759036144569</v>
      </c>
    </row>
    <row r="3" spans="1:17" ht="15" customHeight="1" x14ac:dyDescent="0.25">
      <c r="B3" s="455" t="s">
        <v>57</v>
      </c>
      <c r="C3" s="413" t="s">
        <v>194</v>
      </c>
      <c r="D3" s="383" t="s">
        <v>194</v>
      </c>
      <c r="E3" s="581" t="s">
        <v>137</v>
      </c>
      <c r="F3" s="582"/>
      <c r="G3" s="506" t="s">
        <v>69</v>
      </c>
      <c r="H3" s="506"/>
      <c r="I3" s="598" t="s">
        <v>77</v>
      </c>
      <c r="J3" s="599"/>
      <c r="K3" s="570" t="s">
        <v>80</v>
      </c>
      <c r="L3" s="570"/>
      <c r="M3" s="562"/>
      <c r="N3" s="562"/>
      <c r="P3" s="586" t="s">
        <v>137</v>
      </c>
      <c r="Q3" s="383">
        <v>9.4216867469879499</v>
      </c>
    </row>
    <row r="4" spans="1:17" ht="15" customHeight="1" x14ac:dyDescent="0.25">
      <c r="B4" s="455" t="s">
        <v>58</v>
      </c>
      <c r="C4" s="413" t="s">
        <v>195</v>
      </c>
      <c r="D4" s="383" t="s">
        <v>195</v>
      </c>
      <c r="E4" s="581" t="s">
        <v>139</v>
      </c>
      <c r="F4" s="582"/>
      <c r="G4" s="506" t="s">
        <v>70</v>
      </c>
      <c r="H4" s="506"/>
      <c r="I4" s="598" t="s">
        <v>149</v>
      </c>
      <c r="J4" s="599"/>
      <c r="K4" s="570" t="s">
        <v>81</v>
      </c>
      <c r="L4" s="570"/>
      <c r="M4" s="562"/>
      <c r="N4" s="562"/>
      <c r="P4" s="586" t="s">
        <v>139</v>
      </c>
      <c r="Q4" s="383">
        <v>9.3614457831325293</v>
      </c>
    </row>
    <row r="5" spans="1:17" ht="15" customHeight="1" x14ac:dyDescent="0.25">
      <c r="B5" s="455" t="s">
        <v>59</v>
      </c>
      <c r="C5" s="413" t="s">
        <v>196</v>
      </c>
      <c r="D5" s="383" t="s">
        <v>196</v>
      </c>
      <c r="E5" s="581" t="s">
        <v>140</v>
      </c>
      <c r="F5" s="582"/>
      <c r="G5" s="506" t="s">
        <v>71</v>
      </c>
      <c r="H5" s="506"/>
      <c r="I5" s="572" t="s">
        <v>150</v>
      </c>
      <c r="J5" s="573"/>
      <c r="K5" s="570" t="s">
        <v>156</v>
      </c>
      <c r="L5" s="570"/>
      <c r="M5" s="562"/>
      <c r="N5" s="562"/>
      <c r="P5" s="586" t="s">
        <v>140</v>
      </c>
      <c r="Q5" s="383">
        <v>8.066265060240962</v>
      </c>
    </row>
    <row r="6" spans="1:17" ht="15" customHeight="1" x14ac:dyDescent="0.25">
      <c r="B6" s="455" t="s">
        <v>60</v>
      </c>
      <c r="C6" s="413" t="s">
        <v>197</v>
      </c>
      <c r="D6" s="383" t="s">
        <v>197</v>
      </c>
      <c r="E6" s="581" t="s">
        <v>141</v>
      </c>
      <c r="F6" s="582"/>
      <c r="G6" s="506" t="s">
        <v>72</v>
      </c>
      <c r="H6" s="506"/>
      <c r="I6" s="572" t="s">
        <v>152</v>
      </c>
      <c r="J6" s="573"/>
      <c r="K6" s="570" t="s">
        <v>87</v>
      </c>
      <c r="L6" s="570"/>
      <c r="M6" s="562"/>
      <c r="N6" s="562"/>
      <c r="P6" s="586" t="s">
        <v>141</v>
      </c>
      <c r="Q6" s="608">
        <v>6.5903614457831319</v>
      </c>
    </row>
    <row r="7" spans="1:17" ht="15" customHeight="1" x14ac:dyDescent="0.25">
      <c r="B7" s="455" t="s">
        <v>61</v>
      </c>
      <c r="C7" s="413" t="s">
        <v>198</v>
      </c>
      <c r="D7" s="383" t="s">
        <v>198</v>
      </c>
      <c r="E7" s="581" t="s">
        <v>142</v>
      </c>
      <c r="F7" s="582"/>
      <c r="G7" s="506" t="s">
        <v>73</v>
      </c>
      <c r="H7" s="506"/>
      <c r="I7" s="572" t="s">
        <v>78</v>
      </c>
      <c r="J7" s="574"/>
      <c r="K7" s="562"/>
      <c r="L7" s="562"/>
      <c r="M7" s="562"/>
      <c r="N7" s="562"/>
      <c r="P7" s="586" t="s">
        <v>142</v>
      </c>
      <c r="Q7" s="383">
        <v>8.3674698795180706</v>
      </c>
    </row>
    <row r="8" spans="1:17" ht="15" customHeight="1" x14ac:dyDescent="0.25">
      <c r="B8" s="455" t="s">
        <v>62</v>
      </c>
      <c r="C8" s="413" t="s">
        <v>199</v>
      </c>
      <c r="D8" s="383" t="s">
        <v>199</v>
      </c>
      <c r="E8" s="581" t="s">
        <v>143</v>
      </c>
      <c r="F8" s="582"/>
      <c r="G8" s="506" t="s">
        <v>74</v>
      </c>
      <c r="H8" s="506"/>
      <c r="I8" s="572" t="s">
        <v>153</v>
      </c>
      <c r="J8" s="574"/>
      <c r="K8" s="562"/>
      <c r="L8" s="562"/>
      <c r="M8" s="562"/>
      <c r="N8" s="562"/>
      <c r="P8" s="586" t="s">
        <v>143</v>
      </c>
      <c r="Q8" s="383">
        <v>8.1867469879518069</v>
      </c>
    </row>
    <row r="9" spans="1:17" ht="15" customHeight="1" x14ac:dyDescent="0.25">
      <c r="B9" s="455" t="s">
        <v>63</v>
      </c>
      <c r="C9" s="408" t="s">
        <v>200</v>
      </c>
      <c r="D9" s="409" t="s">
        <v>200</v>
      </c>
      <c r="E9" s="583" t="s">
        <v>144</v>
      </c>
      <c r="F9" s="584"/>
      <c r="G9" s="595" t="s">
        <v>75</v>
      </c>
      <c r="H9" s="595"/>
      <c r="I9" s="575" t="s">
        <v>154</v>
      </c>
      <c r="J9" s="576"/>
      <c r="K9" s="562"/>
      <c r="L9" s="562"/>
      <c r="M9" s="562"/>
      <c r="N9" s="562"/>
      <c r="P9" s="586" t="s">
        <v>144</v>
      </c>
      <c r="Q9" s="383">
        <v>9.2259036144578292</v>
      </c>
    </row>
    <row r="10" spans="1:17" s="455" customFormat="1" ht="15" customHeight="1" x14ac:dyDescent="0.25">
      <c r="M10" s="563"/>
      <c r="N10" s="563"/>
      <c r="P10" s="505" t="s">
        <v>145</v>
      </c>
      <c r="Q10" s="383">
        <v>9.4518072289156621</v>
      </c>
    </row>
    <row r="11" spans="1:17" ht="15" customHeight="1" x14ac:dyDescent="0.25">
      <c r="B11" s="455" t="s">
        <v>189</v>
      </c>
      <c r="C11" s="486">
        <v>1</v>
      </c>
      <c r="D11" s="486">
        <v>2</v>
      </c>
      <c r="E11" s="486">
        <v>3</v>
      </c>
      <c r="F11" s="486">
        <v>4</v>
      </c>
      <c r="G11" s="486">
        <v>5</v>
      </c>
      <c r="H11" s="486">
        <v>6</v>
      </c>
      <c r="I11" s="486">
        <v>7</v>
      </c>
      <c r="J11" s="486">
        <v>8</v>
      </c>
      <c r="K11" s="486">
        <v>9</v>
      </c>
      <c r="L11" s="486">
        <v>10</v>
      </c>
      <c r="M11" s="564"/>
      <c r="N11" s="564"/>
      <c r="P11" s="506" t="s">
        <v>69</v>
      </c>
      <c r="Q11" s="383">
        <v>6.259036144578312</v>
      </c>
    </row>
    <row r="12" spans="1:17" ht="15" customHeight="1" x14ac:dyDescent="0.25">
      <c r="A12" s="455"/>
      <c r="B12" s="455" t="s">
        <v>56</v>
      </c>
      <c r="C12" s="532">
        <v>0.18009999394416809</v>
      </c>
      <c r="D12" s="533">
        <v>0.16889999806880951</v>
      </c>
      <c r="E12" s="600">
        <v>0.54759998321533199</v>
      </c>
      <c r="F12" s="601">
        <v>0.59039999246597297</v>
      </c>
      <c r="G12" s="602">
        <v>0.68849998712539673</v>
      </c>
      <c r="H12" s="602">
        <v>0.63539999723434448</v>
      </c>
      <c r="I12" s="591">
        <v>0.933399987220764</v>
      </c>
      <c r="J12" s="592">
        <v>0.74500000476837158</v>
      </c>
      <c r="K12" s="609">
        <v>0.52219998836517334</v>
      </c>
      <c r="L12" s="609">
        <v>0.54129999876022339</v>
      </c>
      <c r="M12" s="500"/>
      <c r="N12" s="500"/>
      <c r="P12" s="506" t="s">
        <v>70</v>
      </c>
      <c r="Q12" s="383">
        <v>7.9457831325301198</v>
      </c>
    </row>
    <row r="13" spans="1:17" ht="15" customHeight="1" x14ac:dyDescent="0.25">
      <c r="B13" s="455" t="s">
        <v>57</v>
      </c>
      <c r="C13" s="413">
        <v>0.2078000009059906</v>
      </c>
      <c r="D13" s="383">
        <v>0.21500000357627869</v>
      </c>
      <c r="E13" s="603">
        <v>0.78469997644424438</v>
      </c>
      <c r="F13" s="604">
        <v>0.76109999418258667</v>
      </c>
      <c r="G13" s="589">
        <v>0.89860000610351598</v>
      </c>
      <c r="H13" s="589">
        <v>0.91029998064041096</v>
      </c>
      <c r="I13" s="593">
        <v>0.83689999580383301</v>
      </c>
      <c r="J13" s="594">
        <v>0.85769999027252197</v>
      </c>
      <c r="K13" s="610">
        <v>0.76059997081756592</v>
      </c>
      <c r="L13" s="610">
        <v>0.78219997882843018</v>
      </c>
      <c r="M13" s="500"/>
      <c r="N13" s="500"/>
      <c r="P13" s="506" t="s">
        <v>71</v>
      </c>
      <c r="Q13" s="383">
        <v>5.2801204819277112</v>
      </c>
    </row>
    <row r="14" spans="1:17" ht="15" customHeight="1" x14ac:dyDescent="0.25">
      <c r="B14" s="455" t="s">
        <v>58</v>
      </c>
      <c r="C14" s="413">
        <v>0.24639999866485596</v>
      </c>
      <c r="D14" s="383">
        <v>0.25299999117851257</v>
      </c>
      <c r="E14" s="603">
        <v>0.74229997396469116</v>
      </c>
      <c r="F14" s="604">
        <v>0.70349997282028198</v>
      </c>
      <c r="G14" s="589">
        <v>0.89469997882843</v>
      </c>
      <c r="H14" s="589">
        <v>0.94079999923706104</v>
      </c>
      <c r="I14" s="593">
        <v>0.92460001707077</v>
      </c>
      <c r="J14" s="594">
        <v>0.82639998197555542</v>
      </c>
      <c r="K14" s="610">
        <v>0.50180001258850104</v>
      </c>
      <c r="L14" s="610">
        <v>0.53039999008178695</v>
      </c>
      <c r="M14" s="500"/>
      <c r="N14" s="500"/>
      <c r="P14" s="506" t="s">
        <v>72</v>
      </c>
      <c r="Q14" s="383">
        <v>8.7590361445783138</v>
      </c>
    </row>
    <row r="15" spans="1:17" ht="15" customHeight="1" x14ac:dyDescent="0.25">
      <c r="B15" s="455" t="s">
        <v>59</v>
      </c>
      <c r="C15" s="413">
        <v>0.3206000030040741</v>
      </c>
      <c r="D15" s="383">
        <v>0.31650000810623169</v>
      </c>
      <c r="E15" s="603">
        <v>0.64240002632141113</v>
      </c>
      <c r="F15" s="604">
        <v>0.60479998588562012</v>
      </c>
      <c r="G15" s="589">
        <v>0.88749999999999996</v>
      </c>
      <c r="H15" s="589">
        <v>0.98239998817443797</v>
      </c>
      <c r="I15" s="611">
        <v>0.59350000619888299</v>
      </c>
      <c r="J15" s="612">
        <v>0.76980000734329224</v>
      </c>
      <c r="K15" s="610">
        <v>0.69609999656677246</v>
      </c>
      <c r="L15" s="610">
        <v>0.63200002908706665</v>
      </c>
      <c r="M15" s="500"/>
      <c r="N15" s="500"/>
      <c r="P15" s="506" t="s">
        <v>73</v>
      </c>
      <c r="Q15" s="383">
        <v>9.0753012048192758</v>
      </c>
    </row>
    <row r="16" spans="1:17" ht="15" customHeight="1" x14ac:dyDescent="0.25">
      <c r="B16" s="455" t="s">
        <v>60</v>
      </c>
      <c r="C16" s="413">
        <v>0.45910000801086426</v>
      </c>
      <c r="D16" s="383">
        <v>0.48069998621940613</v>
      </c>
      <c r="E16" s="603">
        <v>0.50190001726150513</v>
      </c>
      <c r="F16" s="604">
        <v>0.48019999265670776</v>
      </c>
      <c r="G16" s="589">
        <v>0.95579999685287498</v>
      </c>
      <c r="H16" s="589">
        <v>0.95590002536773699</v>
      </c>
      <c r="I16" s="611">
        <v>0.59240001440048218</v>
      </c>
      <c r="J16" s="612">
        <v>0.63520002365112305</v>
      </c>
      <c r="K16" s="610">
        <v>0.61250001192092896</v>
      </c>
      <c r="L16" s="610">
        <v>0.57039999961853027</v>
      </c>
      <c r="M16" s="500"/>
      <c r="N16" s="500"/>
      <c r="P16" s="506" t="s">
        <v>74</v>
      </c>
      <c r="Q16" s="383">
        <v>8.6987951807228914</v>
      </c>
    </row>
    <row r="17" spans="1:26" ht="15" customHeight="1" x14ac:dyDescent="0.25">
      <c r="B17" s="455" t="s">
        <v>61</v>
      </c>
      <c r="C17" s="413">
        <v>0.74610000848770142</v>
      </c>
      <c r="D17" s="383">
        <v>0.78250002861022949</v>
      </c>
      <c r="E17" s="603">
        <v>0.63739997148513794</v>
      </c>
      <c r="F17" s="604">
        <v>0.58789998292922974</v>
      </c>
      <c r="G17" s="589">
        <v>0.94200001955032298</v>
      </c>
      <c r="H17" s="589">
        <v>0.925399994850159</v>
      </c>
      <c r="I17" s="611">
        <v>0.63819998502731323</v>
      </c>
      <c r="J17" s="613">
        <v>0.44850002527236899</v>
      </c>
      <c r="K17" s="500"/>
      <c r="L17" s="500"/>
      <c r="M17" s="500"/>
      <c r="N17" s="500"/>
      <c r="P17" s="506" t="s">
        <v>75</v>
      </c>
      <c r="Q17" s="383">
        <v>8.9698795180722897</v>
      </c>
    </row>
    <row r="18" spans="1:26" ht="15" customHeight="1" x14ac:dyDescent="0.25">
      <c r="B18" s="455" t="s">
        <v>62</v>
      </c>
      <c r="C18" s="413">
        <v>1.2417999505996704</v>
      </c>
      <c r="D18" s="383">
        <v>1.3174999952316284</v>
      </c>
      <c r="E18" s="603">
        <v>0.618399977684021</v>
      </c>
      <c r="F18" s="604">
        <v>0.63470000028610229</v>
      </c>
      <c r="G18" s="589">
        <v>0.91200001239776596</v>
      </c>
      <c r="H18" s="589">
        <v>0.87070001363754301</v>
      </c>
      <c r="I18" s="611">
        <v>0.88620001077651978</v>
      </c>
      <c r="J18" s="613">
        <v>0.57760000228882002</v>
      </c>
      <c r="K18" s="500"/>
      <c r="L18" s="500"/>
      <c r="M18" s="500"/>
      <c r="N18" s="500"/>
      <c r="P18" s="506" t="s">
        <v>76</v>
      </c>
      <c r="Q18" s="383">
        <v>6.3644578313253</v>
      </c>
    </row>
    <row r="19" spans="1:26" ht="13.2" x14ac:dyDescent="0.25">
      <c r="B19" s="455" t="s">
        <v>63</v>
      </c>
      <c r="C19" s="408">
        <v>2.4830999374389648</v>
      </c>
      <c r="D19" s="409">
        <v>2.3715999126434326</v>
      </c>
      <c r="E19" s="605">
        <v>1.0920000076293945</v>
      </c>
      <c r="F19" s="606">
        <v>1.0109000205993652</v>
      </c>
      <c r="G19" s="590">
        <v>0.91319997310638401</v>
      </c>
      <c r="H19" s="590">
        <v>0.96970002651214604</v>
      </c>
      <c r="I19" s="614">
        <v>0.73650002479553223</v>
      </c>
      <c r="J19" s="615">
        <v>0.56470000743865967</v>
      </c>
      <c r="K19" s="500"/>
      <c r="L19" s="500"/>
      <c r="M19" s="500"/>
      <c r="N19" s="500"/>
      <c r="P19" s="506" t="s">
        <v>77</v>
      </c>
      <c r="Q19" s="383">
        <v>5.0993975903614457</v>
      </c>
    </row>
    <row r="20" spans="1:26" s="455" customFormat="1" x14ac:dyDescent="0.25">
      <c r="A20" s="537" t="s">
        <v>202</v>
      </c>
      <c r="M20" s="563"/>
      <c r="N20" s="563"/>
      <c r="P20" s="506" t="s">
        <v>149</v>
      </c>
      <c r="Q20" s="383">
        <v>6.7409638554216862</v>
      </c>
      <c r="Z20" s="383"/>
    </row>
    <row r="21" spans="1:26" ht="15" customHeight="1" x14ac:dyDescent="0.25">
      <c r="B21" s="455" t="s">
        <v>51</v>
      </c>
      <c r="C21" s="539">
        <f>AVERAGE(C12:D12)</f>
        <v>0.1744999960064888</v>
      </c>
      <c r="D21" s="448"/>
      <c r="E21" s="586" t="s">
        <v>135</v>
      </c>
      <c r="F21" s="427">
        <f>AVERAGE(E12:F12)</f>
        <v>0.56899998784065242</v>
      </c>
      <c r="G21" s="505" t="s">
        <v>145</v>
      </c>
      <c r="H21" s="427">
        <f t="shared" ref="H21:H27" si="0">AVERAGE(G12:H12)</f>
        <v>0.66194999217987061</v>
      </c>
      <c r="I21" s="506" t="s">
        <v>76</v>
      </c>
      <c r="J21" s="578">
        <f t="shared" ref="J21:J28" si="1">AVERAGE(I12:J12)</f>
        <v>0.83919999599456774</v>
      </c>
      <c r="K21" s="570" t="s">
        <v>79</v>
      </c>
      <c r="L21" s="578">
        <f t="shared" ref="L21:L25" si="2">AVERAGE(K12:L12)</f>
        <v>0.53174999356269836</v>
      </c>
      <c r="M21" s="562"/>
      <c r="N21" s="500"/>
      <c r="P21" s="570" t="s">
        <v>150</v>
      </c>
      <c r="Q21" s="383">
        <v>8.6837349397590344</v>
      </c>
    </row>
    <row r="22" spans="1:26" ht="15" customHeight="1" x14ac:dyDescent="0.25">
      <c r="A22" s="455"/>
      <c r="B22" s="455" t="s">
        <v>200</v>
      </c>
      <c r="C22" s="448">
        <f>AVERAGE(C13:D13)</f>
        <v>0.21140000224113464</v>
      </c>
      <c r="D22" s="448">
        <f>C22-$C$21</f>
        <v>3.6900006234645844E-2</v>
      </c>
      <c r="E22" s="586" t="s">
        <v>137</v>
      </c>
      <c r="F22" s="427">
        <f t="shared" ref="F22:F28" si="3">AVERAGE(E13:F13)</f>
        <v>0.77289998531341553</v>
      </c>
      <c r="G22" s="506" t="s">
        <v>69</v>
      </c>
      <c r="H22" s="427">
        <f t="shared" si="0"/>
        <v>0.90444999337196341</v>
      </c>
      <c r="I22" s="506" t="s">
        <v>77</v>
      </c>
      <c r="J22" s="578">
        <f t="shared" si="1"/>
        <v>0.84729999303817749</v>
      </c>
      <c r="K22" s="570" t="s">
        <v>80</v>
      </c>
      <c r="L22" s="578">
        <f t="shared" si="2"/>
        <v>0.77139997482299805</v>
      </c>
      <c r="M22" s="562"/>
      <c r="N22" s="500"/>
      <c r="P22" s="570" t="s">
        <v>152</v>
      </c>
      <c r="Q22" s="383">
        <v>11.861445783132529</v>
      </c>
    </row>
    <row r="23" spans="1:26" ht="15" customHeight="1" x14ac:dyDescent="0.25">
      <c r="A23" s="455"/>
      <c r="B23" s="455" t="s">
        <v>199</v>
      </c>
      <c r="C23" s="448">
        <f t="shared" ref="C23:C27" si="4">AVERAGE(C14:D14)</f>
        <v>0.24969999492168427</v>
      </c>
      <c r="D23" s="448">
        <f>C23-$C$21</f>
        <v>7.5199998915195465E-2</v>
      </c>
      <c r="E23" s="586" t="s">
        <v>139</v>
      </c>
      <c r="F23" s="427">
        <f t="shared" si="3"/>
        <v>0.72289997339248657</v>
      </c>
      <c r="G23" s="506" t="s">
        <v>70</v>
      </c>
      <c r="H23" s="427">
        <f t="shared" si="0"/>
        <v>0.91774998903274552</v>
      </c>
      <c r="I23" s="506" t="s">
        <v>149</v>
      </c>
      <c r="J23" s="578">
        <f t="shared" si="1"/>
        <v>0.87549999952316271</v>
      </c>
      <c r="K23" s="570" t="s">
        <v>81</v>
      </c>
      <c r="L23" s="578">
        <f t="shared" si="2"/>
        <v>0.516100001335144</v>
      </c>
      <c r="M23" s="562"/>
      <c r="N23" s="500"/>
      <c r="P23" s="570" t="s">
        <v>78</v>
      </c>
      <c r="Q23" s="383">
        <v>6.8313253012048181</v>
      </c>
    </row>
    <row r="24" spans="1:26" ht="15" customHeight="1" x14ac:dyDescent="0.25">
      <c r="A24" s="455"/>
      <c r="B24" s="455" t="s">
        <v>198</v>
      </c>
      <c r="C24" s="448">
        <f t="shared" si="4"/>
        <v>0.31855000555515289</v>
      </c>
      <c r="D24" s="448">
        <f>C24-$C$21</f>
        <v>0.14405000954866409</v>
      </c>
      <c r="E24" s="586" t="s">
        <v>140</v>
      </c>
      <c r="F24" s="427">
        <f t="shared" si="3"/>
        <v>0.62360000610351563</v>
      </c>
      <c r="G24" s="506" t="s">
        <v>71</v>
      </c>
      <c r="H24" s="427">
        <f t="shared" si="0"/>
        <v>0.93494999408721902</v>
      </c>
      <c r="I24" s="570" t="s">
        <v>150</v>
      </c>
      <c r="J24" s="578">
        <f t="shared" si="1"/>
        <v>0.68165000677108756</v>
      </c>
      <c r="K24" s="570" t="s">
        <v>156</v>
      </c>
      <c r="L24" s="578">
        <f t="shared" si="2"/>
        <v>0.66405001282691956</v>
      </c>
      <c r="M24" s="562"/>
      <c r="N24" s="500"/>
      <c r="P24" s="570" t="s">
        <v>153</v>
      </c>
      <c r="Q24" s="383">
        <v>9.7530120481927707</v>
      </c>
    </row>
    <row r="25" spans="1:26" ht="15" customHeight="1" x14ac:dyDescent="0.25">
      <c r="A25" s="455"/>
      <c r="B25" s="455" t="s">
        <v>197</v>
      </c>
      <c r="C25" s="448">
        <f>AVERAGE(C16:D16)</f>
        <v>0.46989999711513519</v>
      </c>
      <c r="D25" s="448">
        <f>C25-$C$21</f>
        <v>0.29540000110864639</v>
      </c>
      <c r="E25" s="586" t="s">
        <v>141</v>
      </c>
      <c r="F25" s="427">
        <f t="shared" si="3"/>
        <v>0.49105000495910645</v>
      </c>
      <c r="G25" s="506" t="s">
        <v>72</v>
      </c>
      <c r="H25" s="427">
        <f t="shared" si="0"/>
        <v>0.95585001111030599</v>
      </c>
      <c r="I25" s="570" t="s">
        <v>152</v>
      </c>
      <c r="J25" s="578">
        <f t="shared" si="1"/>
        <v>0.61380001902580261</v>
      </c>
      <c r="K25" s="570" t="s">
        <v>87</v>
      </c>
      <c r="L25" s="578">
        <f t="shared" si="2"/>
        <v>0.59145000576972961</v>
      </c>
      <c r="M25" s="562"/>
      <c r="N25" s="500"/>
      <c r="P25" s="570" t="s">
        <v>154</v>
      </c>
      <c r="Q25" s="383">
        <v>9.9638554216867448</v>
      </c>
    </row>
    <row r="26" spans="1:26" ht="15" customHeight="1" x14ac:dyDescent="0.25">
      <c r="A26" s="455"/>
      <c r="B26" s="455" t="s">
        <v>196</v>
      </c>
      <c r="C26" s="448">
        <f t="shared" si="4"/>
        <v>0.76430001854896545</v>
      </c>
      <c r="D26" s="448">
        <f>C26-$C$21</f>
        <v>0.58980002254247665</v>
      </c>
      <c r="E26" s="586" t="s">
        <v>142</v>
      </c>
      <c r="F26" s="427">
        <f t="shared" si="3"/>
        <v>0.61264997720718384</v>
      </c>
      <c r="G26" s="506" t="s">
        <v>73</v>
      </c>
      <c r="H26" s="427">
        <f t="shared" si="0"/>
        <v>0.93370000720024104</v>
      </c>
      <c r="I26" s="570" t="s">
        <v>78</v>
      </c>
      <c r="J26" s="578">
        <f t="shared" si="1"/>
        <v>0.54335000514984111</v>
      </c>
      <c r="K26" s="562"/>
      <c r="L26" s="500"/>
      <c r="M26" s="562"/>
      <c r="N26" s="500"/>
      <c r="P26" s="570" t="s">
        <v>79</v>
      </c>
      <c r="Q26" s="383">
        <v>7.8403614457831292</v>
      </c>
    </row>
    <row r="27" spans="1:26" ht="15" customHeight="1" x14ac:dyDescent="0.25">
      <c r="A27" s="455"/>
      <c r="B27" s="455" t="s">
        <v>195</v>
      </c>
      <c r="C27" s="448">
        <f t="shared" si="4"/>
        <v>1.2796499729156494</v>
      </c>
      <c r="D27" s="448">
        <f t="shared" ref="D27" si="5">C27-$C$21</f>
        <v>1.1051499769091606</v>
      </c>
      <c r="E27" s="586" t="s">
        <v>143</v>
      </c>
      <c r="F27" s="427">
        <f t="shared" si="3"/>
        <v>0.62654998898506165</v>
      </c>
      <c r="G27" s="506" t="s">
        <v>74</v>
      </c>
      <c r="H27" s="427">
        <f t="shared" si="0"/>
        <v>0.89135001301765449</v>
      </c>
      <c r="I27" s="570" t="s">
        <v>153</v>
      </c>
      <c r="J27" s="578">
        <f t="shared" si="1"/>
        <v>0.73190000653266996</v>
      </c>
      <c r="K27" s="562"/>
      <c r="L27" s="500"/>
      <c r="M27" s="500"/>
      <c r="N27" s="500"/>
      <c r="P27" s="570" t="s">
        <v>80</v>
      </c>
      <c r="Q27" s="383">
        <v>11.665662650602409</v>
      </c>
    </row>
    <row r="28" spans="1:26" ht="15" customHeight="1" x14ac:dyDescent="0.25">
      <c r="A28" s="455"/>
      <c r="B28" s="455" t="s">
        <v>194</v>
      </c>
      <c r="C28" s="448">
        <f>AVERAGE(C19:D19)</f>
        <v>2.4273499250411987</v>
      </c>
      <c r="D28" s="448">
        <f>C28-$C$21</f>
        <v>2.2528499290347099</v>
      </c>
      <c r="E28" s="586" t="s">
        <v>144</v>
      </c>
      <c r="F28" s="427">
        <f t="shared" si="3"/>
        <v>1.0514500141143799</v>
      </c>
      <c r="G28" s="506" t="s">
        <v>75</v>
      </c>
      <c r="H28" s="427">
        <f>AVERAGE(G19:H19)</f>
        <v>0.94144999980926503</v>
      </c>
      <c r="I28" s="570" t="s">
        <v>154</v>
      </c>
      <c r="J28" s="578">
        <f t="shared" si="1"/>
        <v>0.65060001611709595</v>
      </c>
      <c r="K28" s="562"/>
      <c r="L28" s="500"/>
      <c r="M28" s="500"/>
      <c r="N28" s="500"/>
      <c r="P28" s="570" t="s">
        <v>81</v>
      </c>
      <c r="Q28" s="383">
        <v>8.3222891566265034</v>
      </c>
    </row>
    <row r="29" spans="1:26" ht="15" customHeight="1" x14ac:dyDescent="0.25">
      <c r="J29" s="579"/>
      <c r="L29" s="579"/>
      <c r="M29" s="493"/>
      <c r="N29" s="493"/>
      <c r="P29" s="570" t="s">
        <v>156</v>
      </c>
      <c r="Q29" s="383">
        <v>12.433734939759036</v>
      </c>
    </row>
    <row r="30" spans="1:26" ht="15" customHeight="1" x14ac:dyDescent="0.25">
      <c r="B30" s="388" t="s">
        <v>204</v>
      </c>
      <c r="E30" s="586" t="s">
        <v>135</v>
      </c>
      <c r="F30" s="542">
        <f>F21-$C$21</f>
        <v>0.39449999183416362</v>
      </c>
      <c r="G30" s="505" t="s">
        <v>145</v>
      </c>
      <c r="H30" s="542">
        <f>H21-$C$21</f>
        <v>0.48744999617338181</v>
      </c>
      <c r="I30" s="506" t="s">
        <v>76</v>
      </c>
      <c r="J30" s="578">
        <f>J21-$C$21</f>
        <v>0.66469999998807894</v>
      </c>
      <c r="K30" s="570" t="s">
        <v>79</v>
      </c>
      <c r="L30" s="578">
        <f>L21-$C$21</f>
        <v>0.35724999755620956</v>
      </c>
      <c r="M30" s="562"/>
      <c r="N30" s="500"/>
      <c r="P30" s="570" t="s">
        <v>87</v>
      </c>
      <c r="Q30" s="383">
        <v>11.560240963855421</v>
      </c>
    </row>
    <row r="31" spans="1:26" ht="15" customHeight="1" x14ac:dyDescent="0.25">
      <c r="E31" s="586" t="s">
        <v>137</v>
      </c>
      <c r="F31" s="542">
        <f t="shared" ref="F31:F37" si="6">F22-$C$21</f>
        <v>0.59839998930692673</v>
      </c>
      <c r="G31" s="506" t="s">
        <v>69</v>
      </c>
      <c r="H31" s="427">
        <f t="shared" ref="H31:J37" si="7">H22-$C$21</f>
        <v>0.72994999736547461</v>
      </c>
      <c r="I31" s="506" t="s">
        <v>77</v>
      </c>
      <c r="J31" s="578">
        <f t="shared" si="7"/>
        <v>0.67279999703168869</v>
      </c>
      <c r="K31" s="570" t="s">
        <v>80</v>
      </c>
      <c r="L31" s="578">
        <f t="shared" ref="L31:L34" si="8">L22-$C$21</f>
        <v>0.59689997881650925</v>
      </c>
      <c r="M31" s="562"/>
      <c r="N31" s="500"/>
    </row>
    <row r="32" spans="1:26" ht="15" customHeight="1" x14ac:dyDescent="0.25">
      <c r="E32" s="586" t="s">
        <v>139</v>
      </c>
      <c r="F32" s="542">
        <f t="shared" si="6"/>
        <v>0.54839997738599777</v>
      </c>
      <c r="G32" s="506" t="s">
        <v>70</v>
      </c>
      <c r="H32" s="427">
        <f t="shared" si="7"/>
        <v>0.74324999302625672</v>
      </c>
      <c r="I32" s="506" t="s">
        <v>149</v>
      </c>
      <c r="J32" s="578">
        <f t="shared" si="7"/>
        <v>0.70100000351667391</v>
      </c>
      <c r="K32" s="570" t="s">
        <v>81</v>
      </c>
      <c r="L32" s="578">
        <f t="shared" si="8"/>
        <v>0.3416000053286552</v>
      </c>
      <c r="M32" s="562"/>
      <c r="N32" s="500"/>
    </row>
    <row r="33" spans="2:25" ht="15" customHeight="1" x14ac:dyDescent="0.25">
      <c r="E33" s="586" t="s">
        <v>140</v>
      </c>
      <c r="F33" s="542">
        <f t="shared" si="6"/>
        <v>0.44910001009702682</v>
      </c>
      <c r="G33" s="506" t="s">
        <v>71</v>
      </c>
      <c r="H33" s="427">
        <f t="shared" si="7"/>
        <v>0.76044999808073022</v>
      </c>
      <c r="I33" s="570" t="s">
        <v>150</v>
      </c>
      <c r="J33" s="578">
        <f t="shared" si="7"/>
        <v>0.50715001076459876</v>
      </c>
      <c r="K33" s="570" t="s">
        <v>156</v>
      </c>
      <c r="L33" s="578">
        <f t="shared" si="8"/>
        <v>0.48955001682043076</v>
      </c>
      <c r="M33" s="562"/>
      <c r="N33" s="500"/>
      <c r="P33" s="535" t="s">
        <v>10</v>
      </c>
      <c r="Q33" s="536" t="s">
        <v>201</v>
      </c>
      <c r="X33" s="543" t="s">
        <v>218</v>
      </c>
      <c r="Y33" s="543" t="s">
        <v>205</v>
      </c>
    </row>
    <row r="34" spans="2:25" ht="15" customHeight="1" x14ac:dyDescent="0.25">
      <c r="E34" s="586" t="s">
        <v>141</v>
      </c>
      <c r="F34" s="542">
        <f t="shared" si="6"/>
        <v>0.31655000895261765</v>
      </c>
      <c r="G34" s="506" t="s">
        <v>72</v>
      </c>
      <c r="H34" s="427">
        <f t="shared" si="7"/>
        <v>0.78135001510381719</v>
      </c>
      <c r="I34" s="570" t="s">
        <v>152</v>
      </c>
      <c r="J34" s="578">
        <f t="shared" si="7"/>
        <v>0.43930002301931381</v>
      </c>
      <c r="K34" s="570" t="s">
        <v>87</v>
      </c>
      <c r="L34" s="578">
        <f t="shared" si="8"/>
        <v>0.41695000976324081</v>
      </c>
      <c r="M34" s="562"/>
      <c r="N34" s="500"/>
      <c r="P34" s="538" t="s">
        <v>203</v>
      </c>
      <c r="Q34" s="534" t="s">
        <v>189</v>
      </c>
      <c r="X34" s="383" t="s">
        <v>28</v>
      </c>
      <c r="Y34" s="383">
        <v>1.12E-2</v>
      </c>
    </row>
    <row r="35" spans="2:25" ht="15" customHeight="1" x14ac:dyDescent="0.25">
      <c r="E35" s="586" t="s">
        <v>142</v>
      </c>
      <c r="F35" s="542">
        <f t="shared" si="6"/>
        <v>0.43814998120069504</v>
      </c>
      <c r="G35" s="506" t="s">
        <v>73</v>
      </c>
      <c r="H35" s="427">
        <f t="shared" si="7"/>
        <v>0.75920001119375224</v>
      </c>
      <c r="I35" s="570" t="s">
        <v>78</v>
      </c>
      <c r="J35" s="578">
        <f t="shared" si="7"/>
        <v>0.36885000914335231</v>
      </c>
      <c r="K35" s="562"/>
      <c r="L35" s="500"/>
      <c r="M35" s="562"/>
      <c r="N35" s="500"/>
      <c r="P35" s="413">
        <v>3.125</v>
      </c>
      <c r="Q35" s="540">
        <f>D22</f>
        <v>3.6900006234645844E-2</v>
      </c>
      <c r="X35" s="383" t="s">
        <v>206</v>
      </c>
      <c r="Y35" s="383">
        <v>7.7999999999999996E-3</v>
      </c>
    </row>
    <row r="36" spans="2:25" ht="15" customHeight="1" x14ac:dyDescent="0.25">
      <c r="E36" s="586" t="s">
        <v>143</v>
      </c>
      <c r="F36" s="542">
        <f t="shared" si="6"/>
        <v>0.45204999297857285</v>
      </c>
      <c r="G36" s="506" t="s">
        <v>74</v>
      </c>
      <c r="H36" s="542">
        <f>H27-$C$21</f>
        <v>0.71685001701116569</v>
      </c>
      <c r="I36" s="570" t="s">
        <v>153</v>
      </c>
      <c r="J36" s="578">
        <f t="shared" si="7"/>
        <v>0.55740001052618116</v>
      </c>
      <c r="K36" s="562"/>
      <c r="L36" s="500"/>
      <c r="M36" s="500"/>
      <c r="N36" s="565"/>
      <c r="P36" s="413">
        <v>6.25</v>
      </c>
      <c r="Q36" s="540">
        <f>D23</f>
        <v>7.5199998915195465E-2</v>
      </c>
    </row>
    <row r="37" spans="2:25" ht="15" customHeight="1" x14ac:dyDescent="0.25">
      <c r="E37" s="586" t="s">
        <v>144</v>
      </c>
      <c r="F37" s="542">
        <f t="shared" si="6"/>
        <v>0.87695001810789108</v>
      </c>
      <c r="G37" s="506" t="s">
        <v>75</v>
      </c>
      <c r="H37" s="427">
        <f t="shared" si="7"/>
        <v>0.76695000380277623</v>
      </c>
      <c r="I37" s="570" t="s">
        <v>154</v>
      </c>
      <c r="J37" s="578">
        <f t="shared" si="7"/>
        <v>0.47610002011060715</v>
      </c>
      <c r="K37" s="562"/>
      <c r="L37" s="500"/>
      <c r="M37" s="500"/>
      <c r="N37" s="565"/>
      <c r="P37" s="413">
        <v>12.5</v>
      </c>
      <c r="Q37" s="540">
        <f>D24</f>
        <v>0.14405000954866409</v>
      </c>
    </row>
    <row r="38" spans="2:25" ht="15" customHeight="1" x14ac:dyDescent="0.25">
      <c r="J38" s="579"/>
      <c r="L38" s="579"/>
      <c r="M38" s="493"/>
      <c r="N38" s="493"/>
      <c r="P38" s="413">
        <v>25</v>
      </c>
      <c r="Q38" s="540">
        <f>D25</f>
        <v>0.29540000110864639</v>
      </c>
      <c r="X38" s="543" t="s">
        <v>207</v>
      </c>
      <c r="Y38" s="544">
        <f>230/10</f>
        <v>23</v>
      </c>
    </row>
    <row r="39" spans="2:25" ht="15" customHeight="1" x14ac:dyDescent="0.25">
      <c r="B39" s="455" t="s">
        <v>209</v>
      </c>
      <c r="E39" s="586" t="s">
        <v>135</v>
      </c>
      <c r="F39" s="385">
        <f>(F30-$Y$35)/$Y$34</f>
        <v>34.526784985193181</v>
      </c>
      <c r="G39" s="505" t="s">
        <v>145</v>
      </c>
      <c r="H39" s="385">
        <f>(H30-$Y$35)/$Y$34</f>
        <v>42.825892515480518</v>
      </c>
      <c r="I39" s="506" t="s">
        <v>76</v>
      </c>
      <c r="J39" s="580">
        <f>(J30-$Y$35)/$Y$34</f>
        <v>58.651785713221329</v>
      </c>
      <c r="K39" s="570" t="s">
        <v>79</v>
      </c>
      <c r="L39" s="580">
        <f>(L30-$Y$35)/$Y$34</f>
        <v>31.200892638947284</v>
      </c>
      <c r="M39" s="562"/>
      <c r="N39" s="497"/>
      <c r="P39" s="413">
        <v>50</v>
      </c>
      <c r="Q39" s="540">
        <f>D26</f>
        <v>0.58980002254247665</v>
      </c>
      <c r="X39" s="383" t="s">
        <v>208</v>
      </c>
    </row>
    <row r="40" spans="2:25" ht="15" customHeight="1" x14ac:dyDescent="0.25">
      <c r="B40" s="383" t="s">
        <v>210</v>
      </c>
      <c r="E40" s="586" t="s">
        <v>137</v>
      </c>
      <c r="F40" s="385">
        <f>(F31-$Y$35)/$Y$34</f>
        <v>52.732141902404173</v>
      </c>
      <c r="G40" s="506" t="s">
        <v>69</v>
      </c>
      <c r="H40" s="385">
        <f>(H31-$Y$35)/$Y$34</f>
        <v>64.477678336203084</v>
      </c>
      <c r="I40" s="506" t="s">
        <v>77</v>
      </c>
      <c r="J40" s="580">
        <f>(J31-$Y$35)/$Y$34</f>
        <v>59.374999734972199</v>
      </c>
      <c r="K40" s="570" t="s">
        <v>80</v>
      </c>
      <c r="L40" s="580">
        <f>(L31-$Y$35)/$Y$34</f>
        <v>52.598212394331178</v>
      </c>
      <c r="M40" s="562"/>
      <c r="N40" s="497"/>
      <c r="P40" s="413">
        <v>100</v>
      </c>
      <c r="Q40" s="540">
        <f>D27</f>
        <v>1.1051499769091606</v>
      </c>
    </row>
    <row r="41" spans="2:25" ht="15" customHeight="1" x14ac:dyDescent="0.25">
      <c r="E41" s="586" t="s">
        <v>139</v>
      </c>
      <c r="F41" s="385">
        <f>(F32-$Y$35)/$Y$34</f>
        <v>48.267855123749797</v>
      </c>
      <c r="G41" s="506" t="s">
        <v>70</v>
      </c>
      <c r="H41" s="385">
        <f>(H32-$Y$35)/$Y$34</f>
        <v>65.665177948772921</v>
      </c>
      <c r="I41" s="506" t="s">
        <v>149</v>
      </c>
      <c r="J41" s="580">
        <f>(J32-$Y$35)/$Y$34</f>
        <v>61.892857456845881</v>
      </c>
      <c r="K41" s="570" t="s">
        <v>81</v>
      </c>
      <c r="L41" s="580">
        <f>(L32-$Y$35)/$Y$34</f>
        <v>29.803571904344217</v>
      </c>
      <c r="M41" s="562"/>
      <c r="N41" s="497"/>
      <c r="P41" s="408">
        <v>200</v>
      </c>
      <c r="Q41" s="541">
        <f>D28</f>
        <v>2.2528499290347099</v>
      </c>
    </row>
    <row r="42" spans="2:25" ht="15" customHeight="1" x14ac:dyDescent="0.25">
      <c r="E42" s="586" t="s">
        <v>140</v>
      </c>
      <c r="F42" s="385">
        <f>(F33-$Y$35)/$Y$34</f>
        <v>39.401786615805968</v>
      </c>
      <c r="G42" s="506" t="s">
        <v>71</v>
      </c>
      <c r="H42" s="385">
        <f>(H33-$Y$35)/$Y$34</f>
        <v>67.200892685779479</v>
      </c>
      <c r="I42" s="570" t="s">
        <v>150</v>
      </c>
      <c r="J42" s="580">
        <f>(J33-$Y$35)/$Y$34</f>
        <v>44.58482238969632</v>
      </c>
      <c r="K42" s="570" t="s">
        <v>156</v>
      </c>
      <c r="L42" s="580">
        <f>(L33-$Y$35)/$Y$34</f>
        <v>43.013394358967034</v>
      </c>
      <c r="M42" s="562"/>
      <c r="N42" s="497"/>
    </row>
    <row r="43" spans="2:25" ht="15" customHeight="1" x14ac:dyDescent="0.25">
      <c r="E43" s="586" t="s">
        <v>141</v>
      </c>
      <c r="F43" s="385">
        <f>(F34-$Y$35)/$Y$34</f>
        <v>27.566965085055148</v>
      </c>
      <c r="G43" s="506" t="s">
        <v>72</v>
      </c>
      <c r="H43" s="385">
        <f>(H34-$Y$35)/$Y$34</f>
        <v>69.066965634269394</v>
      </c>
      <c r="I43" s="570" t="s">
        <v>152</v>
      </c>
      <c r="J43" s="580">
        <f>(J34-$Y$35)/$Y$34</f>
        <v>38.526787769581595</v>
      </c>
      <c r="K43" s="570" t="s">
        <v>87</v>
      </c>
      <c r="L43" s="580">
        <f>(L34-$Y$35)/$Y$34</f>
        <v>36.53125087171793</v>
      </c>
      <c r="M43" s="562"/>
      <c r="N43" s="497"/>
    </row>
    <row r="44" spans="2:25" ht="15" customHeight="1" x14ac:dyDescent="0.3">
      <c r="B44" s="545"/>
      <c r="E44" s="586" t="s">
        <v>142</v>
      </c>
      <c r="F44" s="385">
        <f>(F35-$Y$35)/$Y$34</f>
        <v>38.424105464347775</v>
      </c>
      <c r="G44" s="506" t="s">
        <v>73</v>
      </c>
      <c r="H44" s="385">
        <f>(H35-$Y$35)/$Y$34</f>
        <v>67.089286713727873</v>
      </c>
      <c r="I44" s="570" t="s">
        <v>78</v>
      </c>
      <c r="J44" s="580">
        <f>(J35-$Y$35)/$Y$34</f>
        <v>32.236607959227889</v>
      </c>
      <c r="K44" s="562"/>
      <c r="L44" s="497"/>
      <c r="M44" s="562"/>
      <c r="N44" s="497"/>
    </row>
    <row r="45" spans="2:25" ht="15" customHeight="1" x14ac:dyDescent="0.25">
      <c r="E45" s="586" t="s">
        <v>143</v>
      </c>
      <c r="F45" s="385">
        <f>(F36-$Y$35)/$Y$34</f>
        <v>39.665177944515435</v>
      </c>
      <c r="G45" s="506" t="s">
        <v>74</v>
      </c>
      <c r="H45" s="385">
        <f>(H36-$Y$35)/$Y$34</f>
        <v>63.308037233139792</v>
      </c>
      <c r="I45" s="570" t="s">
        <v>153</v>
      </c>
      <c r="J45" s="580">
        <f>(J36-$Y$35)/$Y$34</f>
        <v>49.071429511266174</v>
      </c>
      <c r="K45" s="562"/>
      <c r="L45" s="497"/>
      <c r="M45" s="500"/>
      <c r="N45" s="497"/>
    </row>
    <row r="46" spans="2:25" ht="15" customHeight="1" x14ac:dyDescent="0.25">
      <c r="E46" s="586" t="s">
        <v>144</v>
      </c>
      <c r="F46" s="385">
        <f>(F37-$Y$35)/$Y$34</f>
        <v>77.602680188204559</v>
      </c>
      <c r="G46" s="506" t="s">
        <v>75</v>
      </c>
      <c r="H46" s="385">
        <f>(H37-$Y$35)/$Y$34</f>
        <v>67.781250339533585</v>
      </c>
      <c r="I46" s="570" t="s">
        <v>154</v>
      </c>
      <c r="J46" s="580">
        <f>(J37-$Y$35)/$Y$34</f>
        <v>41.812501795589924</v>
      </c>
      <c r="K46" s="562"/>
      <c r="L46" s="497"/>
      <c r="M46" s="500"/>
      <c r="N46" s="497"/>
    </row>
    <row r="47" spans="2:25" ht="15" customHeight="1" x14ac:dyDescent="0.25">
      <c r="J47" s="579"/>
      <c r="L47" s="579"/>
      <c r="M47" s="497"/>
      <c r="N47" s="493"/>
      <c r="W47" s="607"/>
      <c r="X47" s="607"/>
      <c r="Y47" s="607"/>
    </row>
    <row r="48" spans="2:25" ht="15" customHeight="1" x14ac:dyDescent="0.25">
      <c r="B48" s="383" t="s">
        <v>211</v>
      </c>
      <c r="E48" s="586" t="s">
        <v>135</v>
      </c>
      <c r="F48" s="385">
        <f>F39*$Y$38</f>
        <v>794.11605465944319</v>
      </c>
      <c r="G48" s="505" t="s">
        <v>145</v>
      </c>
      <c r="H48" s="385">
        <f>H39*$Y$38</f>
        <v>984.99552785605192</v>
      </c>
      <c r="I48" s="506" t="s">
        <v>76</v>
      </c>
      <c r="J48" s="580">
        <f>J39*$Y$38</f>
        <v>1348.9910714040907</v>
      </c>
      <c r="K48" s="570" t="s">
        <v>79</v>
      </c>
      <c r="L48" s="580">
        <f>L39*$Y$38</f>
        <v>717.62053069578758</v>
      </c>
      <c r="M48" s="562"/>
      <c r="N48" s="497"/>
    </row>
    <row r="49" spans="2:25" ht="15" customHeight="1" x14ac:dyDescent="0.25">
      <c r="E49" s="586" t="s">
        <v>137</v>
      </c>
      <c r="F49" s="385">
        <f>F40*$Y$38</f>
        <v>1212.8392637552961</v>
      </c>
      <c r="G49" s="506" t="s">
        <v>69</v>
      </c>
      <c r="H49" s="385">
        <f>H40*$Y$38</f>
        <v>1482.986601732671</v>
      </c>
      <c r="I49" s="506" t="s">
        <v>77</v>
      </c>
      <c r="J49" s="580">
        <f>J40*$Y$38</f>
        <v>1365.6249939043605</v>
      </c>
      <c r="K49" s="570" t="s">
        <v>80</v>
      </c>
      <c r="L49" s="580">
        <f>L40*$Y$38</f>
        <v>1209.758885069617</v>
      </c>
      <c r="M49" s="562"/>
      <c r="N49" s="497"/>
    </row>
    <row r="50" spans="2:25" ht="15" customHeight="1" x14ac:dyDescent="0.25">
      <c r="E50" s="586" t="s">
        <v>139</v>
      </c>
      <c r="F50" s="385">
        <f>F41*$Y$38</f>
        <v>1110.1606678462454</v>
      </c>
      <c r="G50" s="506" t="s">
        <v>70</v>
      </c>
      <c r="H50" s="385">
        <f>H41*$Y$38</f>
        <v>1510.2990928217771</v>
      </c>
      <c r="I50" s="506" t="s">
        <v>149</v>
      </c>
      <c r="J50" s="580">
        <f>J41*$Y$38</f>
        <v>1423.5357215074553</v>
      </c>
      <c r="K50" s="570" t="s">
        <v>81</v>
      </c>
      <c r="L50" s="580">
        <f>L41*$Y$38</f>
        <v>685.482153799917</v>
      </c>
      <c r="M50" s="562"/>
      <c r="N50" s="497"/>
    </row>
    <row r="51" spans="2:25" ht="15" customHeight="1" thickBot="1" x14ac:dyDescent="0.3">
      <c r="E51" s="586" t="s">
        <v>140</v>
      </c>
      <c r="F51" s="385">
        <f>F42*$Y$38</f>
        <v>906.24109216353725</v>
      </c>
      <c r="G51" s="506" t="s">
        <v>71</v>
      </c>
      <c r="H51" s="385">
        <f>H42*$Y$38</f>
        <v>1545.620531772928</v>
      </c>
      <c r="I51" s="570" t="s">
        <v>150</v>
      </c>
      <c r="J51" s="580">
        <f>J42*$Y$38</f>
        <v>1025.4509149630153</v>
      </c>
      <c r="K51" s="570" t="s">
        <v>156</v>
      </c>
      <c r="L51" s="580">
        <f>L42*$Y$38</f>
        <v>989.30807025624176</v>
      </c>
      <c r="M51" s="562"/>
      <c r="N51" s="497"/>
    </row>
    <row r="52" spans="2:25" ht="15" customHeight="1" x14ac:dyDescent="0.3">
      <c r="E52" s="586" t="s">
        <v>141</v>
      </c>
      <c r="F52" s="385">
        <f>F43*$Y$38</f>
        <v>634.04019695626846</v>
      </c>
      <c r="G52" s="506" t="s">
        <v>72</v>
      </c>
      <c r="H52" s="385">
        <f>H43*$Y$38</f>
        <v>1588.5402095881961</v>
      </c>
      <c r="I52" s="570" t="s">
        <v>152</v>
      </c>
      <c r="J52" s="580">
        <f>J43*$Y$38</f>
        <v>886.11611870037666</v>
      </c>
      <c r="K52" s="570" t="s">
        <v>87</v>
      </c>
      <c r="L52" s="580">
        <f>L43*$Y$38</f>
        <v>840.21877004951239</v>
      </c>
      <c r="M52" s="562"/>
      <c r="N52" s="497"/>
      <c r="P52" s="546"/>
      <c r="Q52" s="547" t="s">
        <v>212</v>
      </c>
      <c r="R52" s="548" t="s">
        <v>213</v>
      </c>
      <c r="S52" s="549" t="s">
        <v>214</v>
      </c>
      <c r="T52" s="487" t="s">
        <v>108</v>
      </c>
      <c r="U52" s="487" t="s">
        <v>215</v>
      </c>
      <c r="W52" s="550" t="s">
        <v>106</v>
      </c>
      <c r="X52" s="550" t="s">
        <v>107</v>
      </c>
      <c r="Y52" s="550" t="s">
        <v>108</v>
      </c>
    </row>
    <row r="53" spans="2:25" ht="15" customHeight="1" x14ac:dyDescent="0.3">
      <c r="E53" s="586" t="s">
        <v>142</v>
      </c>
      <c r="F53" s="385">
        <f>F44*$Y$38</f>
        <v>883.7544256799988</v>
      </c>
      <c r="G53" s="506" t="s">
        <v>73</v>
      </c>
      <c r="H53" s="385">
        <f>H44*$Y$38</f>
        <v>1543.0535944157411</v>
      </c>
      <c r="I53" s="570" t="s">
        <v>78</v>
      </c>
      <c r="J53" s="580">
        <f>J44*$Y$38</f>
        <v>741.44198306224143</v>
      </c>
      <c r="K53" s="562"/>
      <c r="L53" s="497"/>
      <c r="M53" s="562"/>
      <c r="N53" s="497"/>
      <c r="P53" s="567" t="s">
        <v>88</v>
      </c>
      <c r="Q53" s="551">
        <f>AVERAGE(J60:J64,L57:L61)</f>
        <v>94.341676105748505</v>
      </c>
      <c r="R53" s="552">
        <f>_xlfn.STDEV.S(J60:J64,L57:L61)</f>
        <v>16.796915131741095</v>
      </c>
      <c r="S53" s="427">
        <f>K67</f>
        <v>10</v>
      </c>
      <c r="U53" s="553" t="s">
        <v>56</v>
      </c>
      <c r="W53" s="383" t="s">
        <v>103</v>
      </c>
      <c r="X53" s="383">
        <v>0.55676580870000003</v>
      </c>
    </row>
    <row r="54" spans="2:25" ht="15" customHeight="1" x14ac:dyDescent="0.3">
      <c r="E54" s="586" t="s">
        <v>143</v>
      </c>
      <c r="F54" s="385">
        <f>F45*$Y$38</f>
        <v>912.29909272385498</v>
      </c>
      <c r="G54" s="506" t="s">
        <v>74</v>
      </c>
      <c r="H54" s="385">
        <f>H45*$Y$38</f>
        <v>1456.0848563622153</v>
      </c>
      <c r="I54" s="570" t="s">
        <v>153</v>
      </c>
      <c r="J54" s="580">
        <f>J45*$Y$38</f>
        <v>1128.6428787591219</v>
      </c>
      <c r="K54" s="562"/>
      <c r="L54" s="497"/>
      <c r="M54" s="500"/>
      <c r="N54" s="497"/>
      <c r="P54" s="568" t="s">
        <v>89</v>
      </c>
      <c r="Q54" s="551">
        <f>AVERAGE(F57:F64,H57)</f>
        <v>108.4948501781742</v>
      </c>
      <c r="R54" s="552">
        <f>_xlfn.STDEV.S(F57:F64,H57)</f>
        <v>12.099841541838282</v>
      </c>
      <c r="S54" s="427">
        <f>G67</f>
        <v>8</v>
      </c>
      <c r="T54" s="383">
        <f>(Q54-$Q$53)/$Q$53</f>
        <v>0.15002037971597271</v>
      </c>
      <c r="U54" s="553" t="s">
        <v>56</v>
      </c>
      <c r="W54" s="383" t="s">
        <v>104</v>
      </c>
      <c r="X54" s="554">
        <v>1.0000000000000001E-15</v>
      </c>
      <c r="Y54" s="485">
        <f>(Q54-Q53)/Q53</f>
        <v>0.15002037971597271</v>
      </c>
    </row>
    <row r="55" spans="2:25" ht="15" customHeight="1" thickBot="1" x14ac:dyDescent="0.35">
      <c r="E55" s="586" t="s">
        <v>144</v>
      </c>
      <c r="F55" s="385">
        <f>F46*$Y$38</f>
        <v>1784.8616443287049</v>
      </c>
      <c r="G55" s="506" t="s">
        <v>75</v>
      </c>
      <c r="H55" s="385">
        <f>H46*$Y$38</f>
        <v>1558.9687578092726</v>
      </c>
      <c r="I55" s="570" t="s">
        <v>154</v>
      </c>
      <c r="J55" s="580">
        <f>J46*$Y$38</f>
        <v>961.68754129856825</v>
      </c>
      <c r="K55" s="562"/>
      <c r="L55" s="497"/>
      <c r="M55" s="500"/>
      <c r="N55" s="497"/>
      <c r="P55" s="569" t="s">
        <v>90</v>
      </c>
      <c r="Q55" s="555">
        <f>AVERAGE(H58:H64,J57:J59)</f>
        <v>210.32480411590004</v>
      </c>
      <c r="R55" s="556">
        <f>_xlfn.STDEV.S(H58:H64,J57:J59)</f>
        <v>43.275703798785649</v>
      </c>
      <c r="S55" s="427">
        <f>I67</f>
        <v>10</v>
      </c>
      <c r="T55" s="383">
        <f>(Q55-$Q$53)/$Q$53</f>
        <v>1.2293943970228483</v>
      </c>
      <c r="U55" s="553" t="s">
        <v>57</v>
      </c>
      <c r="W55" s="383" t="s">
        <v>105</v>
      </c>
      <c r="X55" s="383">
        <v>1.0000000000000001E-15</v>
      </c>
    </row>
    <row r="56" spans="2:25" ht="15" customHeight="1" x14ac:dyDescent="0.3">
      <c r="E56" s="553"/>
      <c r="F56" s="385"/>
      <c r="G56" s="553"/>
      <c r="H56" s="385"/>
      <c r="I56" s="553"/>
      <c r="J56" s="580"/>
      <c r="K56" s="553"/>
      <c r="L56" s="580"/>
      <c r="M56" s="497"/>
      <c r="N56" s="493"/>
      <c r="P56" s="566"/>
    </row>
    <row r="57" spans="2:25" ht="15" customHeight="1" x14ac:dyDescent="0.25">
      <c r="B57" s="455" t="s">
        <v>216</v>
      </c>
      <c r="E57" s="586" t="s">
        <v>135</v>
      </c>
      <c r="F57" s="385">
        <f>F48/Q2</f>
        <v>90.818646278654896</v>
      </c>
      <c r="G57" s="505" t="s">
        <v>145</v>
      </c>
      <c r="H57" s="385">
        <f>H48/Q10</f>
        <v>104.21240129006031</v>
      </c>
      <c r="I57" s="506" t="s">
        <v>76</v>
      </c>
      <c r="J57" s="580">
        <f>J48/Q18</f>
        <v>211.95695016855569</v>
      </c>
      <c r="K57" s="570" t="s">
        <v>79</v>
      </c>
      <c r="L57" s="580">
        <f>L48/Q26</f>
        <v>91.529011214368637</v>
      </c>
      <c r="M57" s="562"/>
      <c r="N57" s="497"/>
    </row>
    <row r="58" spans="2:25" ht="15" customHeight="1" x14ac:dyDescent="0.25">
      <c r="E58" s="586" t="s">
        <v>137</v>
      </c>
      <c r="F58" s="385">
        <f t="shared" ref="F58:F63" si="9">F49/Q3</f>
        <v>128.72846405586904</v>
      </c>
      <c r="G58" s="506" t="s">
        <v>69</v>
      </c>
      <c r="H58" s="385">
        <f t="shared" ref="H58:H64" si="10">H49/Q11</f>
        <v>236.93529921811688</v>
      </c>
      <c r="I58" s="506" t="s">
        <v>77</v>
      </c>
      <c r="J58" s="580">
        <f t="shared" ref="J58:J64" si="11">J49/Q19</f>
        <v>267.80123920628927</v>
      </c>
      <c r="K58" s="570" t="s">
        <v>80</v>
      </c>
      <c r="L58" s="580">
        <f t="shared" ref="L58:L61" si="12">L49/Q27</f>
        <v>103.70254320762017</v>
      </c>
      <c r="M58" s="562"/>
      <c r="N58" s="497"/>
    </row>
    <row r="59" spans="2:25" ht="15" customHeight="1" x14ac:dyDescent="0.25">
      <c r="E59" s="586" t="s">
        <v>139</v>
      </c>
      <c r="F59" s="385">
        <f t="shared" si="9"/>
        <v>118.58859128859507</v>
      </c>
      <c r="G59" s="506" t="s">
        <v>70</v>
      </c>
      <c r="H59" s="385">
        <f t="shared" si="10"/>
        <v>190.07554921032224</v>
      </c>
      <c r="I59" s="506" t="s">
        <v>149</v>
      </c>
      <c r="J59" s="580">
        <f t="shared" si="11"/>
        <v>211.17688093855014</v>
      </c>
      <c r="K59" s="570" t="s">
        <v>81</v>
      </c>
      <c r="L59" s="580">
        <f t="shared" si="12"/>
        <v>82.367019566258605</v>
      </c>
      <c r="M59" s="562"/>
      <c r="N59" s="497"/>
    </row>
    <row r="60" spans="2:25" ht="15" customHeight="1" x14ac:dyDescent="0.25">
      <c r="E60" s="586" t="s">
        <v>140</v>
      </c>
      <c r="F60" s="385">
        <f t="shared" si="9"/>
        <v>112.3495304698635</v>
      </c>
      <c r="G60" s="506" t="s">
        <v>71</v>
      </c>
      <c r="H60" s="385">
        <f t="shared" si="10"/>
        <v>292.72448177330978</v>
      </c>
      <c r="I60" s="570" t="s">
        <v>150</v>
      </c>
      <c r="J60" s="580">
        <f t="shared" si="11"/>
        <v>118.08869364124909</v>
      </c>
      <c r="K60" s="570" t="s">
        <v>156</v>
      </c>
      <c r="L60" s="580">
        <f t="shared" si="12"/>
        <v>79.566443634949678</v>
      </c>
      <c r="M60" s="562"/>
      <c r="N60" s="497"/>
    </row>
    <row r="61" spans="2:25" ht="15" customHeight="1" x14ac:dyDescent="0.25">
      <c r="E61" s="586" t="s">
        <v>141</v>
      </c>
      <c r="F61" s="385">
        <f t="shared" si="9"/>
        <v>96.207196247477668</v>
      </c>
      <c r="G61" s="506" t="s">
        <v>72</v>
      </c>
      <c r="H61" s="385">
        <f t="shared" si="10"/>
        <v>181.3601614798078</v>
      </c>
      <c r="I61" s="570" t="s">
        <v>152</v>
      </c>
      <c r="J61" s="580">
        <f t="shared" si="11"/>
        <v>74.705574253053598</v>
      </c>
      <c r="K61" s="570" t="s">
        <v>87</v>
      </c>
      <c r="L61" s="580">
        <f t="shared" si="12"/>
        <v>72.681769582188153</v>
      </c>
      <c r="M61" s="562"/>
      <c r="N61" s="497"/>
    </row>
    <row r="62" spans="2:25" ht="15" customHeight="1" x14ac:dyDescent="0.25">
      <c r="E62" s="586" t="s">
        <v>142</v>
      </c>
      <c r="F62" s="385">
        <f t="shared" si="9"/>
        <v>105.61787952691132</v>
      </c>
      <c r="G62" s="506" t="s">
        <v>73</v>
      </c>
      <c r="H62" s="385">
        <f t="shared" si="10"/>
        <v>170.02781060273023</v>
      </c>
      <c r="I62" s="570" t="s">
        <v>78</v>
      </c>
      <c r="J62" s="580">
        <f t="shared" si="11"/>
        <v>108.53559893150978</v>
      </c>
      <c r="K62" s="562"/>
      <c r="L62" s="497"/>
      <c r="M62" s="562"/>
      <c r="N62" s="497"/>
    </row>
    <row r="63" spans="2:25" ht="15" customHeight="1" x14ac:dyDescent="0.25">
      <c r="E63" s="586" t="s">
        <v>143</v>
      </c>
      <c r="F63" s="385">
        <f t="shared" si="9"/>
        <v>111.43609226796168</v>
      </c>
      <c r="G63" s="506" t="s">
        <v>74</v>
      </c>
      <c r="H63" s="385">
        <f t="shared" si="10"/>
        <v>167.38925634080869</v>
      </c>
      <c r="I63" s="570" t="s">
        <v>153</v>
      </c>
      <c r="J63" s="580">
        <f t="shared" si="11"/>
        <v>115.72249405436334</v>
      </c>
      <c r="K63" s="562"/>
      <c r="L63" s="497"/>
      <c r="M63" s="500"/>
      <c r="N63" s="497"/>
    </row>
    <row r="64" spans="2:25" ht="15" customHeight="1" x14ac:dyDescent="0.25">
      <c r="E64" s="586" t="s">
        <v>144</v>
      </c>
      <c r="F64" s="385"/>
      <c r="G64" s="506" t="s">
        <v>75</v>
      </c>
      <c r="H64" s="385">
        <f t="shared" si="10"/>
        <v>173.80041222050988</v>
      </c>
      <c r="I64" s="570" t="s">
        <v>154</v>
      </c>
      <c r="J64" s="580">
        <f t="shared" si="11"/>
        <v>96.517612971924038</v>
      </c>
      <c r="K64" s="562"/>
      <c r="L64" s="497"/>
      <c r="M64" s="500"/>
      <c r="N64" s="497"/>
    </row>
    <row r="65" spans="5:14" ht="15" customHeight="1" x14ac:dyDescent="0.25">
      <c r="E65" s="553"/>
      <c r="F65" s="385"/>
      <c r="G65" s="553"/>
      <c r="H65" s="385"/>
      <c r="I65" s="553"/>
      <c r="J65" s="385"/>
      <c r="K65" s="553"/>
      <c r="L65" s="580"/>
      <c r="M65" s="497"/>
      <c r="N65" s="493"/>
    </row>
    <row r="66" spans="5:14" ht="15" customHeight="1" x14ac:dyDescent="0.25">
      <c r="G66" s="587" t="s">
        <v>214</v>
      </c>
      <c r="H66" s="385"/>
      <c r="I66" s="588" t="s">
        <v>214</v>
      </c>
      <c r="J66" s="385"/>
      <c r="K66" s="571" t="s">
        <v>214</v>
      </c>
      <c r="L66" s="580"/>
      <c r="M66" s="564"/>
      <c r="N66" s="493"/>
    </row>
    <row r="67" spans="5:14" ht="15" customHeight="1" x14ac:dyDescent="0.25">
      <c r="G67" s="587">
        <f>COUNT(F57:F63,H57)</f>
        <v>8</v>
      </c>
      <c r="H67" s="385"/>
      <c r="I67" s="588">
        <f>COUNT(H58:H64,J57:J59)</f>
        <v>10</v>
      </c>
      <c r="J67" s="385"/>
      <c r="K67" s="571">
        <f>COUNT(J60:J64,L57:L61)</f>
        <v>10</v>
      </c>
      <c r="L67" s="580"/>
      <c r="M67" s="564"/>
      <c r="N67" s="493"/>
    </row>
    <row r="68" spans="5:14" ht="15" customHeight="1" x14ac:dyDescent="0.25">
      <c r="F68" s="553"/>
      <c r="G68" s="385"/>
      <c r="H68" s="553"/>
      <c r="I68" s="385"/>
      <c r="J68" s="553"/>
      <c r="K68" s="385"/>
      <c r="M68" s="497"/>
      <c r="N68" s="493"/>
    </row>
    <row r="69" spans="5:14" ht="15" customHeight="1" x14ac:dyDescent="0.25">
      <c r="M69" s="493"/>
      <c r="N69" s="493"/>
    </row>
    <row r="70" spans="5:14" ht="15" customHeight="1" x14ac:dyDescent="0.25">
      <c r="E70" s="553"/>
      <c r="F70" s="385"/>
      <c r="G70" s="553"/>
      <c r="H70" s="385"/>
      <c r="I70" s="553"/>
      <c r="J70" s="385"/>
      <c r="K70" s="553"/>
      <c r="L70" s="385"/>
    </row>
    <row r="71" spans="5:14" ht="15" customHeight="1" x14ac:dyDescent="0.25">
      <c r="E71" s="553"/>
      <c r="F71" s="385"/>
      <c r="G71" s="553"/>
      <c r="H71" s="385"/>
      <c r="I71" s="553"/>
      <c r="J71" s="385"/>
      <c r="K71" s="553"/>
      <c r="L71" s="385"/>
    </row>
    <row r="72" spans="5:14" ht="15" customHeight="1" x14ac:dyDescent="0.25">
      <c r="E72" s="553"/>
      <c r="F72" s="385"/>
      <c r="G72" s="553"/>
      <c r="H72" s="385"/>
      <c r="I72" s="553"/>
      <c r="J72" s="385"/>
      <c r="K72" s="553"/>
      <c r="L72" s="385"/>
    </row>
    <row r="73" spans="5:14" ht="15" customHeight="1" x14ac:dyDescent="0.25">
      <c r="E73" s="553"/>
      <c r="F73" s="385"/>
      <c r="G73" s="553"/>
      <c r="H73" s="385"/>
      <c r="I73" s="553"/>
      <c r="J73" s="385"/>
      <c r="K73" s="553"/>
      <c r="L73" s="385"/>
    </row>
    <row r="74" spans="5:14" ht="15" customHeight="1" x14ac:dyDescent="0.25">
      <c r="E74" s="553"/>
      <c r="F74" s="385"/>
      <c r="G74" s="553"/>
      <c r="H74" s="385"/>
      <c r="I74" s="553"/>
      <c r="J74" s="385"/>
      <c r="K74" s="553"/>
      <c r="L74" s="385"/>
    </row>
    <row r="75" spans="5:14" ht="15" customHeight="1" x14ac:dyDescent="0.25">
      <c r="E75" s="553"/>
      <c r="F75" s="385"/>
      <c r="G75" s="553"/>
      <c r="H75" s="385"/>
      <c r="I75" s="553"/>
      <c r="J75" s="385"/>
      <c r="L75" s="385"/>
    </row>
    <row r="76" spans="5:14" ht="15" customHeight="1" x14ac:dyDescent="0.25">
      <c r="F76" s="553"/>
      <c r="G76" s="448"/>
      <c r="H76" s="553"/>
      <c r="I76" s="448"/>
      <c r="J76" s="553"/>
      <c r="K76" s="448"/>
      <c r="L76" s="553"/>
      <c r="M76" s="448"/>
    </row>
    <row r="77" spans="5:14" ht="15" customHeight="1" x14ac:dyDescent="0.25">
      <c r="F77" s="553"/>
      <c r="G77" s="448"/>
      <c r="H77" s="553"/>
      <c r="I77" s="448"/>
      <c r="J77" s="553"/>
      <c r="K77" s="448"/>
      <c r="M77" s="448"/>
    </row>
    <row r="79" spans="5:14" ht="15" customHeight="1" x14ac:dyDescent="0.25">
      <c r="E79" s="455"/>
      <c r="F79" s="553"/>
      <c r="G79" s="448"/>
      <c r="H79" s="553"/>
      <c r="I79" s="448"/>
      <c r="J79" s="553"/>
      <c r="K79" s="448"/>
      <c r="L79" s="553"/>
      <c r="M79" s="448"/>
    </row>
    <row r="80" spans="5:14" ht="15" customHeight="1" x14ac:dyDescent="0.25">
      <c r="F80" s="553"/>
      <c r="G80" s="448"/>
      <c r="H80" s="553"/>
      <c r="I80" s="448"/>
      <c r="J80" s="553"/>
      <c r="K80" s="448"/>
      <c r="L80" s="553"/>
      <c r="M80" s="448"/>
    </row>
    <row r="81" spans="5:13" ht="15" customHeight="1" x14ac:dyDescent="0.25">
      <c r="F81" s="553"/>
      <c r="G81" s="448"/>
      <c r="H81" s="553"/>
      <c r="I81" s="448"/>
      <c r="J81" s="553"/>
      <c r="K81" s="448"/>
      <c r="L81" s="553"/>
      <c r="M81" s="448"/>
    </row>
    <row r="82" spans="5:13" ht="15" customHeight="1" x14ac:dyDescent="0.25">
      <c r="F82" s="553"/>
      <c r="G82" s="448"/>
      <c r="H82" s="553"/>
      <c r="I82" s="448"/>
      <c r="J82" s="553"/>
      <c r="K82" s="448"/>
      <c r="L82" s="553"/>
      <c r="M82" s="448"/>
    </row>
    <row r="83" spans="5:13" ht="15" customHeight="1" x14ac:dyDescent="0.25">
      <c r="F83" s="553"/>
      <c r="G83" s="448"/>
      <c r="H83" s="553"/>
      <c r="I83" s="448"/>
      <c r="J83" s="553"/>
      <c r="K83" s="448"/>
      <c r="L83" s="553"/>
      <c r="M83" s="448"/>
    </row>
    <row r="84" spans="5:13" ht="15" customHeight="1" x14ac:dyDescent="0.25">
      <c r="F84" s="553"/>
      <c r="G84" s="448"/>
      <c r="H84" s="553"/>
      <c r="I84" s="448"/>
      <c r="J84" s="553"/>
      <c r="K84" s="448"/>
      <c r="M84" s="385"/>
    </row>
    <row r="87" spans="5:13" ht="15" customHeight="1" x14ac:dyDescent="0.25">
      <c r="F87" s="557"/>
      <c r="G87" s="557"/>
      <c r="H87" s="557"/>
      <c r="I87" s="557"/>
      <c r="J87" s="557"/>
      <c r="K87" s="557"/>
      <c r="L87" s="557"/>
      <c r="M87" s="557"/>
    </row>
    <row r="89" spans="5:13" ht="15" customHeight="1" x14ac:dyDescent="0.25">
      <c r="E89" s="557"/>
    </row>
    <row r="90" spans="5:13" ht="15" customHeight="1" x14ac:dyDescent="0.25">
      <c r="E90" s="557"/>
    </row>
    <row r="91" spans="5:13" ht="15" customHeight="1" x14ac:dyDescent="0.25">
      <c r="E91" s="557"/>
    </row>
    <row r="92" spans="5:13" ht="15" customHeight="1" x14ac:dyDescent="0.25">
      <c r="E92" s="557"/>
    </row>
    <row r="93" spans="5:13" ht="15" customHeight="1" x14ac:dyDescent="0.25">
      <c r="E93" s="557"/>
    </row>
  </sheetData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A4EC4-05FF-4620-B3C6-53E2BC9CF0AD}">
  <dimension ref="A1:B31"/>
  <sheetViews>
    <sheetView topLeftCell="A9" workbookViewId="0">
      <selection activeCell="Q37" sqref="Q37"/>
    </sheetView>
  </sheetViews>
  <sheetFormatPr defaultRowHeight="13.2" x14ac:dyDescent="0.25"/>
  <cols>
    <col min="1" max="1" width="15.44140625" style="383" bestFit="1" customWidth="1"/>
    <col min="2" max="2" width="9.77734375" style="383" bestFit="1" customWidth="1"/>
    <col min="3" max="16384" width="8.88671875" style="383"/>
  </cols>
  <sheetData>
    <row r="1" spans="1:2" ht="14.4" x14ac:dyDescent="0.3">
      <c r="A1" s="558" t="s">
        <v>91</v>
      </c>
      <c r="B1" s="558" t="s">
        <v>217</v>
      </c>
    </row>
    <row r="2" spans="1:2" ht="14.4" x14ac:dyDescent="0.3">
      <c r="A2" s="559" t="s">
        <v>88</v>
      </c>
      <c r="B2" s="385">
        <v>118.08869364124909</v>
      </c>
    </row>
    <row r="3" spans="1:2" ht="14.4" x14ac:dyDescent="0.3">
      <c r="A3" s="559" t="s">
        <v>88</v>
      </c>
      <c r="B3" s="385">
        <v>74.705574253053598</v>
      </c>
    </row>
    <row r="4" spans="1:2" ht="14.4" x14ac:dyDescent="0.3">
      <c r="A4" s="559" t="s">
        <v>88</v>
      </c>
      <c r="B4" s="385">
        <v>108.53559893150978</v>
      </c>
    </row>
    <row r="5" spans="1:2" ht="14.4" x14ac:dyDescent="0.3">
      <c r="A5" s="559" t="s">
        <v>88</v>
      </c>
      <c r="B5" s="385">
        <v>115.72249405436334</v>
      </c>
    </row>
    <row r="6" spans="1:2" ht="14.4" x14ac:dyDescent="0.3">
      <c r="A6" s="559" t="s">
        <v>88</v>
      </c>
      <c r="B6" s="385">
        <v>96.517612971924038</v>
      </c>
    </row>
    <row r="7" spans="1:2" ht="14.4" x14ac:dyDescent="0.3">
      <c r="A7" s="559" t="s">
        <v>88</v>
      </c>
      <c r="B7" s="385">
        <v>91.529011214368637</v>
      </c>
    </row>
    <row r="8" spans="1:2" ht="14.4" x14ac:dyDescent="0.3">
      <c r="A8" s="559" t="s">
        <v>88</v>
      </c>
      <c r="B8" s="385">
        <v>103.70254320762017</v>
      </c>
    </row>
    <row r="9" spans="1:2" ht="14.4" x14ac:dyDescent="0.3">
      <c r="A9" s="559" t="s">
        <v>88</v>
      </c>
      <c r="B9" s="385">
        <v>82.367019566258605</v>
      </c>
    </row>
    <row r="10" spans="1:2" ht="14.4" x14ac:dyDescent="0.3">
      <c r="A10" s="559" t="s">
        <v>88</v>
      </c>
      <c r="B10" s="385">
        <v>79.566443634949678</v>
      </c>
    </row>
    <row r="11" spans="1:2" ht="14.4" x14ac:dyDescent="0.3">
      <c r="A11" s="559" t="s">
        <v>88</v>
      </c>
      <c r="B11" s="385">
        <v>72.681769582188153</v>
      </c>
    </row>
    <row r="12" spans="1:2" ht="14.4" x14ac:dyDescent="0.3">
      <c r="A12" s="560" t="s">
        <v>89</v>
      </c>
      <c r="B12" s="385">
        <v>90.818646278654896</v>
      </c>
    </row>
    <row r="13" spans="1:2" ht="14.4" x14ac:dyDescent="0.3">
      <c r="A13" s="560" t="s">
        <v>89</v>
      </c>
      <c r="B13" s="385">
        <v>128.72846405586904</v>
      </c>
    </row>
    <row r="14" spans="1:2" ht="14.4" x14ac:dyDescent="0.3">
      <c r="A14" s="560" t="s">
        <v>89</v>
      </c>
      <c r="B14" s="385">
        <v>118.58859128859507</v>
      </c>
    </row>
    <row r="15" spans="1:2" ht="14.4" x14ac:dyDescent="0.3">
      <c r="A15" s="560" t="s">
        <v>89</v>
      </c>
      <c r="B15" s="385">
        <v>112.3495304698635</v>
      </c>
    </row>
    <row r="16" spans="1:2" ht="14.4" x14ac:dyDescent="0.3">
      <c r="A16" s="560" t="s">
        <v>89</v>
      </c>
      <c r="B16" s="385">
        <v>96.207196247477668</v>
      </c>
    </row>
    <row r="17" spans="1:2" ht="14.4" x14ac:dyDescent="0.3">
      <c r="A17" s="560" t="s">
        <v>89</v>
      </c>
      <c r="B17" s="385">
        <v>105.61787952691132</v>
      </c>
    </row>
    <row r="18" spans="1:2" ht="14.4" x14ac:dyDescent="0.3">
      <c r="A18" s="560" t="s">
        <v>89</v>
      </c>
      <c r="B18" s="385">
        <v>111.43609226796168</v>
      </c>
    </row>
    <row r="19" spans="1:2" ht="14.4" x14ac:dyDescent="0.3">
      <c r="A19" s="560" t="s">
        <v>89</v>
      </c>
      <c r="B19" s="385">
        <v>104.21240129006031</v>
      </c>
    </row>
    <row r="20" spans="1:2" ht="14.4" x14ac:dyDescent="0.3">
      <c r="A20" s="561" t="s">
        <v>90</v>
      </c>
      <c r="B20" s="385">
        <v>236.93529921811688</v>
      </c>
    </row>
    <row r="21" spans="1:2" ht="14.4" x14ac:dyDescent="0.3">
      <c r="A21" s="561" t="s">
        <v>90</v>
      </c>
      <c r="B21" s="385">
        <v>190.07554921032224</v>
      </c>
    </row>
    <row r="22" spans="1:2" ht="14.4" x14ac:dyDescent="0.3">
      <c r="A22" s="561" t="s">
        <v>90</v>
      </c>
      <c r="B22" s="385">
        <v>292.72448177330978</v>
      </c>
    </row>
    <row r="23" spans="1:2" ht="14.4" x14ac:dyDescent="0.3">
      <c r="A23" s="561" t="s">
        <v>90</v>
      </c>
      <c r="B23" s="385">
        <v>181.3601614798078</v>
      </c>
    </row>
    <row r="24" spans="1:2" ht="14.4" x14ac:dyDescent="0.3">
      <c r="A24" s="561" t="s">
        <v>90</v>
      </c>
      <c r="B24" s="385">
        <v>170.02781060273023</v>
      </c>
    </row>
    <row r="25" spans="1:2" ht="14.4" x14ac:dyDescent="0.3">
      <c r="A25" s="561" t="s">
        <v>90</v>
      </c>
      <c r="B25" s="385">
        <v>167.38925634080869</v>
      </c>
    </row>
    <row r="26" spans="1:2" ht="14.4" x14ac:dyDescent="0.3">
      <c r="A26" s="561" t="s">
        <v>90</v>
      </c>
      <c r="B26" s="385">
        <v>173.80041222050988</v>
      </c>
    </row>
    <row r="27" spans="1:2" ht="14.4" x14ac:dyDescent="0.3">
      <c r="A27" s="561" t="s">
        <v>90</v>
      </c>
      <c r="B27" s="385">
        <v>211.95695016855569</v>
      </c>
    </row>
    <row r="28" spans="1:2" ht="14.4" x14ac:dyDescent="0.3">
      <c r="A28" s="561" t="s">
        <v>90</v>
      </c>
      <c r="B28" s="385">
        <v>267.80123920628927</v>
      </c>
    </row>
    <row r="29" spans="1:2" ht="14.4" x14ac:dyDescent="0.3">
      <c r="A29" s="561" t="s">
        <v>90</v>
      </c>
      <c r="B29" s="385">
        <v>211.17688093855014</v>
      </c>
    </row>
    <row r="31" spans="1:2" x14ac:dyDescent="0.25">
      <c r="B31" s="385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82A3F-7BC6-43E2-9C10-7ED7881C8304}">
  <dimension ref="A1:Q111"/>
  <sheetViews>
    <sheetView tabSelected="1" topLeftCell="A78" zoomScale="70" zoomScaleNormal="70" workbookViewId="0">
      <selection activeCell="J93" sqref="J93"/>
    </sheetView>
  </sheetViews>
  <sheetFormatPr defaultColWidth="9.109375" defaultRowHeight="15" customHeight="1" x14ac:dyDescent="0.25"/>
  <cols>
    <col min="1" max="1" width="39.21875" style="616" bestFit="1" customWidth="1"/>
    <col min="2" max="2" width="22.77734375" style="616" bestFit="1" customWidth="1"/>
    <col min="3" max="3" width="40.77734375" style="616" bestFit="1" customWidth="1"/>
    <col min="4" max="4" width="22.77734375" style="616" bestFit="1" customWidth="1"/>
    <col min="5" max="5" width="8" style="616" customWidth="1"/>
    <col min="6" max="6" width="22.77734375" style="616" bestFit="1" customWidth="1"/>
    <col min="7" max="7" width="8" style="616" customWidth="1"/>
    <col min="8" max="8" width="22.77734375" style="616" bestFit="1" customWidth="1"/>
    <col min="9" max="9" width="23.109375" style="616" bestFit="1" customWidth="1"/>
    <col min="10" max="10" width="30.5546875" style="616" bestFit="1" customWidth="1"/>
    <col min="11" max="11" width="15.5546875" style="616" bestFit="1" customWidth="1"/>
    <col min="12" max="12" width="24.21875" style="616" bestFit="1" customWidth="1"/>
    <col min="13" max="13" width="40.77734375" style="616" bestFit="1" customWidth="1"/>
    <col min="14" max="14" width="24.21875" style="616" customWidth="1"/>
    <col min="15" max="15" width="9.109375" style="616"/>
    <col min="16" max="16" width="24.21875" style="616" bestFit="1" customWidth="1"/>
    <col min="17" max="17" width="7.77734375" style="616" bestFit="1" customWidth="1"/>
    <col min="18" max="16384" width="9.109375" style="616"/>
  </cols>
  <sheetData>
    <row r="1" spans="1:17" ht="15" customHeight="1" x14ac:dyDescent="0.25">
      <c r="A1" s="616" t="s">
        <v>2</v>
      </c>
      <c r="C1" s="646" t="s">
        <v>221</v>
      </c>
      <c r="D1" s="645" t="s">
        <v>51</v>
      </c>
      <c r="E1" s="675"/>
    </row>
    <row r="2" spans="1:17" ht="15" hidden="1" customHeight="1" x14ac:dyDescent="0.25"/>
    <row r="3" spans="1:17" ht="15" customHeight="1" x14ac:dyDescent="0.25">
      <c r="A3" s="617"/>
      <c r="M3" s="646" t="s">
        <v>221</v>
      </c>
      <c r="N3" s="643" t="s">
        <v>51</v>
      </c>
    </row>
    <row r="4" spans="1:17" s="617" customFormat="1" ht="15" customHeight="1" x14ac:dyDescent="0.25">
      <c r="A4" s="617" t="s">
        <v>126</v>
      </c>
      <c r="B4" s="618">
        <v>1</v>
      </c>
      <c r="C4" s="618">
        <v>2</v>
      </c>
      <c r="D4" s="618">
        <v>3</v>
      </c>
      <c r="E4" s="618">
        <v>4</v>
      </c>
      <c r="F4" s="618">
        <v>5</v>
      </c>
      <c r="G4" s="618">
        <v>6</v>
      </c>
      <c r="H4" s="618">
        <v>7</v>
      </c>
      <c r="I4" s="618">
        <v>8</v>
      </c>
      <c r="K4" s="617" t="s">
        <v>126</v>
      </c>
      <c r="L4" s="618">
        <v>1</v>
      </c>
      <c r="M4" s="618">
        <v>2</v>
      </c>
      <c r="N4" s="618">
        <v>3</v>
      </c>
      <c r="O4" s="618">
        <v>4</v>
      </c>
      <c r="P4" s="618">
        <v>5</v>
      </c>
      <c r="Q4" s="618">
        <v>6</v>
      </c>
    </row>
    <row r="5" spans="1:17" ht="15" customHeight="1" x14ac:dyDescent="0.25">
      <c r="A5" s="618" t="s">
        <v>56</v>
      </c>
      <c r="B5" s="668" t="s">
        <v>222</v>
      </c>
      <c r="C5" s="668" t="s">
        <v>222</v>
      </c>
      <c r="D5" s="645" t="s">
        <v>51</v>
      </c>
      <c r="E5" s="645" t="s">
        <v>51</v>
      </c>
      <c r="F5" s="660" t="s">
        <v>144</v>
      </c>
      <c r="G5" s="660" t="s">
        <v>144</v>
      </c>
      <c r="H5" s="651" t="s">
        <v>75</v>
      </c>
      <c r="I5" s="651" t="s">
        <v>75</v>
      </c>
      <c r="K5" s="618" t="s">
        <v>56</v>
      </c>
      <c r="L5" s="668" t="s">
        <v>222</v>
      </c>
      <c r="M5" s="646" t="s">
        <v>222</v>
      </c>
      <c r="N5" s="643" t="s">
        <v>51</v>
      </c>
      <c r="O5" s="643" t="s">
        <v>51</v>
      </c>
      <c r="P5" s="653" t="s">
        <v>79</v>
      </c>
      <c r="Q5" s="653" t="s">
        <v>79</v>
      </c>
    </row>
    <row r="6" spans="1:17" ht="15" customHeight="1" x14ac:dyDescent="0.25">
      <c r="A6" s="618" t="s">
        <v>57</v>
      </c>
      <c r="B6" s="668" t="s">
        <v>223</v>
      </c>
      <c r="C6" s="668" t="s">
        <v>223</v>
      </c>
      <c r="D6" s="660" t="s">
        <v>135</v>
      </c>
      <c r="E6" s="660" t="s">
        <v>135</v>
      </c>
      <c r="F6" s="660" t="s">
        <v>145</v>
      </c>
      <c r="G6" s="660" t="s">
        <v>145</v>
      </c>
      <c r="H6" s="651" t="s">
        <v>76</v>
      </c>
      <c r="I6" s="651" t="s">
        <v>76</v>
      </c>
      <c r="K6" s="618" t="s">
        <v>57</v>
      </c>
      <c r="L6" s="646" t="s">
        <v>223</v>
      </c>
      <c r="M6" s="646" t="s">
        <v>223</v>
      </c>
      <c r="N6" s="649" t="s">
        <v>135</v>
      </c>
      <c r="O6" s="649" t="s">
        <v>135</v>
      </c>
      <c r="P6" s="653" t="s">
        <v>80</v>
      </c>
      <c r="Q6" s="653" t="s">
        <v>80</v>
      </c>
    </row>
    <row r="7" spans="1:17" ht="15" customHeight="1" x14ac:dyDescent="0.25">
      <c r="A7" s="618" t="s">
        <v>58</v>
      </c>
      <c r="B7" s="668" t="s">
        <v>224</v>
      </c>
      <c r="C7" s="668" t="s">
        <v>224</v>
      </c>
      <c r="D7" s="660" t="s">
        <v>137</v>
      </c>
      <c r="E7" s="660" t="s">
        <v>137</v>
      </c>
      <c r="F7" s="651" t="s">
        <v>69</v>
      </c>
      <c r="G7" s="651" t="s">
        <v>69</v>
      </c>
      <c r="H7" s="651" t="s">
        <v>77</v>
      </c>
      <c r="I7" s="651" t="s">
        <v>77</v>
      </c>
      <c r="K7" s="618" t="s">
        <v>58</v>
      </c>
      <c r="L7" s="646" t="s">
        <v>224</v>
      </c>
      <c r="M7" s="646" t="s">
        <v>224</v>
      </c>
      <c r="N7" s="649" t="s">
        <v>142</v>
      </c>
      <c r="O7" s="649" t="s">
        <v>142</v>
      </c>
      <c r="P7" s="653" t="s">
        <v>81</v>
      </c>
      <c r="Q7" s="653" t="s">
        <v>81</v>
      </c>
    </row>
    <row r="8" spans="1:17" ht="15" customHeight="1" x14ac:dyDescent="0.25">
      <c r="A8" s="618" t="s">
        <v>59</v>
      </c>
      <c r="B8" s="668" t="s">
        <v>225</v>
      </c>
      <c r="C8" s="668" t="s">
        <v>225</v>
      </c>
      <c r="D8" s="660" t="s">
        <v>139</v>
      </c>
      <c r="E8" s="660" t="s">
        <v>139</v>
      </c>
      <c r="F8" s="651" t="s">
        <v>70</v>
      </c>
      <c r="G8" s="651" t="s">
        <v>70</v>
      </c>
      <c r="H8" s="651" t="s">
        <v>149</v>
      </c>
      <c r="I8" s="651" t="s">
        <v>149</v>
      </c>
      <c r="K8" s="618" t="s">
        <v>59</v>
      </c>
      <c r="L8" s="646" t="s">
        <v>225</v>
      </c>
      <c r="M8" s="646" t="s">
        <v>225</v>
      </c>
      <c r="N8" s="651" t="s">
        <v>76</v>
      </c>
      <c r="O8" s="651" t="s">
        <v>76</v>
      </c>
      <c r="P8" s="653" t="s">
        <v>156</v>
      </c>
      <c r="Q8" s="653" t="s">
        <v>156</v>
      </c>
    </row>
    <row r="9" spans="1:17" ht="15" customHeight="1" x14ac:dyDescent="0.25">
      <c r="A9" s="618" t="s">
        <v>60</v>
      </c>
      <c r="B9" s="668" t="s">
        <v>226</v>
      </c>
      <c r="C9" s="668" t="s">
        <v>226</v>
      </c>
      <c r="D9" s="660" t="s">
        <v>140</v>
      </c>
      <c r="E9" s="660" t="s">
        <v>140</v>
      </c>
      <c r="F9" s="651" t="s">
        <v>71</v>
      </c>
      <c r="G9" s="651" t="s">
        <v>71</v>
      </c>
      <c r="H9" s="662" t="s">
        <v>150</v>
      </c>
      <c r="I9" s="662" t="s">
        <v>150</v>
      </c>
      <c r="K9" s="618" t="s">
        <v>60</v>
      </c>
      <c r="L9" s="646" t="s">
        <v>226</v>
      </c>
      <c r="M9" s="646" t="s">
        <v>226</v>
      </c>
      <c r="N9" s="653" t="s">
        <v>152</v>
      </c>
      <c r="O9" s="653" t="s">
        <v>152</v>
      </c>
      <c r="P9" s="653" t="s">
        <v>87</v>
      </c>
      <c r="Q9" s="653" t="s">
        <v>87</v>
      </c>
    </row>
    <row r="10" spans="1:17" ht="15" customHeight="1" x14ac:dyDescent="0.25">
      <c r="A10" s="618" t="s">
        <v>61</v>
      </c>
      <c r="B10" s="668" t="s">
        <v>227</v>
      </c>
      <c r="C10" s="668" t="s">
        <v>227</v>
      </c>
      <c r="D10" s="660" t="s">
        <v>141</v>
      </c>
      <c r="E10" s="660" t="s">
        <v>141</v>
      </c>
      <c r="F10" s="651" t="s">
        <v>72</v>
      </c>
      <c r="G10" s="651" t="s">
        <v>72</v>
      </c>
      <c r="K10" s="618" t="s">
        <v>61</v>
      </c>
      <c r="L10" s="646" t="s">
        <v>227</v>
      </c>
      <c r="M10" s="646" t="s">
        <v>227</v>
      </c>
      <c r="N10" s="653" t="s">
        <v>78</v>
      </c>
      <c r="O10" s="653" t="s">
        <v>78</v>
      </c>
      <c r="P10" s="640"/>
      <c r="Q10" s="639"/>
    </row>
    <row r="11" spans="1:17" ht="15" customHeight="1" x14ac:dyDescent="0.25">
      <c r="A11" s="618" t="s">
        <v>62</v>
      </c>
      <c r="B11" s="668" t="s">
        <v>228</v>
      </c>
      <c r="C11" s="668" t="s">
        <v>228</v>
      </c>
      <c r="D11" s="660" t="s">
        <v>142</v>
      </c>
      <c r="E11" s="660" t="s">
        <v>142</v>
      </c>
      <c r="F11" s="651" t="s">
        <v>73</v>
      </c>
      <c r="G11" s="651" t="s">
        <v>73</v>
      </c>
      <c r="K11" s="618" t="s">
        <v>62</v>
      </c>
      <c r="L11" s="646" t="s">
        <v>228</v>
      </c>
      <c r="M11" s="646" t="s">
        <v>228</v>
      </c>
      <c r="N11" s="653" t="s">
        <v>153</v>
      </c>
      <c r="O11" s="653" t="s">
        <v>153</v>
      </c>
      <c r="P11" s="640"/>
      <c r="Q11" s="639"/>
    </row>
    <row r="12" spans="1:17" ht="15" customHeight="1" x14ac:dyDescent="0.25">
      <c r="A12" s="618" t="s">
        <v>63</v>
      </c>
      <c r="B12" s="668" t="s">
        <v>229</v>
      </c>
      <c r="C12" s="668" t="s">
        <v>229</v>
      </c>
      <c r="D12" s="660" t="s">
        <v>143</v>
      </c>
      <c r="E12" s="660" t="s">
        <v>143</v>
      </c>
      <c r="F12" s="651" t="s">
        <v>74</v>
      </c>
      <c r="G12" s="651" t="s">
        <v>74</v>
      </c>
      <c r="K12" s="618" t="s">
        <v>63</v>
      </c>
      <c r="L12" s="646" t="s">
        <v>229</v>
      </c>
      <c r="M12" s="646" t="s">
        <v>229</v>
      </c>
      <c r="N12" s="653" t="s">
        <v>154</v>
      </c>
      <c r="O12" s="653" t="s">
        <v>154</v>
      </c>
      <c r="P12" s="640"/>
      <c r="Q12" s="639"/>
    </row>
    <row r="13" spans="1:17" ht="15" customHeight="1" x14ac:dyDescent="0.25">
      <c r="A13" s="617"/>
      <c r="K13" s="617"/>
      <c r="Q13" s="639"/>
    </row>
    <row r="14" spans="1:17" s="617" customFormat="1" ht="15" customHeight="1" x14ac:dyDescent="0.25">
      <c r="A14" s="617" t="s">
        <v>189</v>
      </c>
      <c r="B14" s="618">
        <v>1</v>
      </c>
      <c r="C14" s="618">
        <v>2</v>
      </c>
      <c r="D14" s="618">
        <v>3</v>
      </c>
      <c r="E14" s="618">
        <v>4</v>
      </c>
      <c r="F14" s="618">
        <v>5</v>
      </c>
      <c r="G14" s="618">
        <v>6</v>
      </c>
      <c r="H14" s="618">
        <v>7</v>
      </c>
      <c r="I14" s="618">
        <v>8</v>
      </c>
      <c r="K14" s="617" t="s">
        <v>189</v>
      </c>
      <c r="L14" s="618">
        <v>1</v>
      </c>
      <c r="M14" s="618">
        <v>2</v>
      </c>
      <c r="N14" s="618">
        <v>3</v>
      </c>
      <c r="O14" s="618">
        <v>4</v>
      </c>
      <c r="P14" s="618">
        <v>5</v>
      </c>
      <c r="Q14" s="641">
        <v>6</v>
      </c>
    </row>
    <row r="15" spans="1:17" ht="15" customHeight="1" x14ac:dyDescent="0.25">
      <c r="A15" s="618" t="s">
        <v>56</v>
      </c>
      <c r="B15" s="646">
        <v>1.8541000000000001</v>
      </c>
      <c r="C15" s="646">
        <v>1.9607000000000001</v>
      </c>
      <c r="D15" s="645">
        <v>4.4600000000000001E-2</v>
      </c>
      <c r="E15" s="645">
        <v>0.05</v>
      </c>
      <c r="F15" s="680">
        <v>9.7799999999999998E-2</v>
      </c>
      <c r="G15" s="680">
        <v>0.1028</v>
      </c>
      <c r="H15" s="682">
        <v>8.2199999999999995E-2</v>
      </c>
      <c r="I15" s="682">
        <v>8.4000000000000005E-2</v>
      </c>
      <c r="K15" s="618" t="s">
        <v>56</v>
      </c>
      <c r="L15" s="647">
        <v>1.8541000000000001</v>
      </c>
      <c r="M15" s="647">
        <v>1.9607000000000001</v>
      </c>
      <c r="N15" s="644">
        <v>4.6699999999999998E-2</v>
      </c>
      <c r="O15" s="644">
        <v>4.5600000000000002E-2</v>
      </c>
      <c r="P15" s="654">
        <v>0.1186</v>
      </c>
      <c r="Q15" s="654">
        <v>0.1187</v>
      </c>
    </row>
    <row r="16" spans="1:17" ht="15" customHeight="1" x14ac:dyDescent="0.25">
      <c r="A16" s="618" t="s">
        <v>57</v>
      </c>
      <c r="B16" s="646">
        <v>1.0381</v>
      </c>
      <c r="C16" s="646">
        <v>1.0833999999999999</v>
      </c>
      <c r="D16" s="679">
        <v>7.7200000000000005E-2</v>
      </c>
      <c r="E16" s="679">
        <v>7.8100000000000003E-2</v>
      </c>
      <c r="F16" s="680">
        <v>9.4299999999999995E-2</v>
      </c>
      <c r="G16" s="680">
        <v>9.4600000000000004E-2</v>
      </c>
      <c r="H16" s="682">
        <v>9.6100000000000005E-2</v>
      </c>
      <c r="I16" s="682">
        <v>9.9699999999999997E-2</v>
      </c>
      <c r="K16" s="618" t="s">
        <v>57</v>
      </c>
      <c r="L16" s="647">
        <v>1.0242</v>
      </c>
      <c r="M16" s="647">
        <v>0.97909999999999997</v>
      </c>
      <c r="N16" s="650">
        <v>0.1158</v>
      </c>
      <c r="O16" s="650">
        <v>0.12889999999999999</v>
      </c>
      <c r="P16" s="654">
        <v>0.2084</v>
      </c>
      <c r="Q16" s="654">
        <v>0.20669999999999999</v>
      </c>
    </row>
    <row r="17" spans="1:17" ht="15" customHeight="1" x14ac:dyDescent="0.25">
      <c r="A17" s="618" t="s">
        <v>58</v>
      </c>
      <c r="B17" s="646">
        <v>0.51559999999999995</v>
      </c>
      <c r="C17" s="646">
        <v>0.50190000000000001</v>
      </c>
      <c r="D17" s="679">
        <v>0.11360000000000001</v>
      </c>
      <c r="E17" s="679">
        <v>0.124</v>
      </c>
      <c r="F17" s="682">
        <v>8.2400000000000001E-2</v>
      </c>
      <c r="G17" s="682">
        <v>0.08</v>
      </c>
      <c r="H17" s="682">
        <v>7.9699999999999993E-2</v>
      </c>
      <c r="I17" s="682">
        <v>8.4199999999999997E-2</v>
      </c>
      <c r="K17" s="618" t="s">
        <v>58</v>
      </c>
      <c r="L17" s="647">
        <v>0.53290000000000004</v>
      </c>
      <c r="M17" s="647">
        <v>0.49730000000000002</v>
      </c>
      <c r="N17" s="650">
        <v>0.16139999999999999</v>
      </c>
      <c r="O17" s="650">
        <v>0.15329999999999999</v>
      </c>
      <c r="P17" s="654">
        <v>0.2064</v>
      </c>
      <c r="Q17" s="654">
        <v>0.2034</v>
      </c>
    </row>
    <row r="18" spans="1:17" ht="15" customHeight="1" x14ac:dyDescent="0.25">
      <c r="A18" s="618" t="s">
        <v>59</v>
      </c>
      <c r="B18" s="646">
        <v>0.315</v>
      </c>
      <c r="C18" s="646">
        <v>0.30780000000000002</v>
      </c>
      <c r="D18" s="679">
        <v>9.5200000000000007E-2</v>
      </c>
      <c r="E18" s="679">
        <v>9.6299999999999997E-2</v>
      </c>
      <c r="F18" s="682">
        <v>8.2699999999999996E-2</v>
      </c>
      <c r="G18" s="682">
        <v>8.4599999999999995E-2</v>
      </c>
      <c r="H18" s="682">
        <v>0.1023</v>
      </c>
      <c r="I18" s="682">
        <v>0.1003</v>
      </c>
      <c r="K18" s="618" t="s">
        <v>59</v>
      </c>
      <c r="L18" s="647">
        <v>0.30009999999999998</v>
      </c>
      <c r="M18" s="647">
        <v>0.30599999999999999</v>
      </c>
      <c r="N18" s="652">
        <v>0.22040000000000001</v>
      </c>
      <c r="O18" s="652">
        <v>0.21809999999999999</v>
      </c>
      <c r="P18" s="654">
        <v>0.1328</v>
      </c>
      <c r="Q18" s="654">
        <v>0.1323</v>
      </c>
    </row>
    <row r="19" spans="1:17" ht="15" customHeight="1" x14ac:dyDescent="0.25">
      <c r="A19" s="618" t="s">
        <v>60</v>
      </c>
      <c r="B19" s="646">
        <v>0.1754</v>
      </c>
      <c r="C19" s="646">
        <v>0.1701</v>
      </c>
      <c r="D19" s="679">
        <v>8.7999999999999995E-2</v>
      </c>
      <c r="E19" s="679">
        <v>8.6099999999999996E-2</v>
      </c>
      <c r="F19" s="682">
        <v>8.3599999999999994E-2</v>
      </c>
      <c r="G19" s="682">
        <v>8.6900000000000005E-2</v>
      </c>
      <c r="H19" s="683">
        <v>9.5299999999999996E-2</v>
      </c>
      <c r="I19" s="683">
        <v>9.8299999999999998E-2</v>
      </c>
      <c r="K19" s="618" t="s">
        <v>60</v>
      </c>
      <c r="L19" s="647">
        <v>0.17069999999999999</v>
      </c>
      <c r="M19" s="647">
        <v>0.17050000000000001</v>
      </c>
      <c r="N19" s="654">
        <v>0.15340000000000001</v>
      </c>
      <c r="O19" s="654">
        <v>0.1555</v>
      </c>
      <c r="P19" s="654">
        <v>0.26229999999999998</v>
      </c>
      <c r="Q19" s="654">
        <v>0.26319999999999999</v>
      </c>
    </row>
    <row r="20" spans="1:17" ht="15" customHeight="1" x14ac:dyDescent="0.25">
      <c r="A20" s="618" t="s">
        <v>61</v>
      </c>
      <c r="B20" s="646">
        <v>0.1143</v>
      </c>
      <c r="C20" s="646">
        <v>0.1105</v>
      </c>
      <c r="D20" s="679">
        <v>8.6400000000000005E-2</v>
      </c>
      <c r="E20" s="679">
        <v>8.7800000000000003E-2</v>
      </c>
      <c r="F20" s="682">
        <v>8.9599999999999999E-2</v>
      </c>
      <c r="G20" s="682">
        <v>8.4900000000000003E-2</v>
      </c>
      <c r="H20" s="684"/>
      <c r="I20" s="684"/>
      <c r="K20" s="618" t="s">
        <v>61</v>
      </c>
      <c r="L20" s="647">
        <v>0.13320000000000001</v>
      </c>
      <c r="M20" s="647">
        <v>0.1191</v>
      </c>
      <c r="N20" s="654">
        <v>0.2172</v>
      </c>
      <c r="O20" s="654">
        <v>0.2152</v>
      </c>
      <c r="P20" s="642"/>
      <c r="Q20" s="642"/>
    </row>
    <row r="21" spans="1:17" ht="15" customHeight="1" x14ac:dyDescent="0.25">
      <c r="A21" s="618" t="s">
        <v>62</v>
      </c>
      <c r="B21" s="646">
        <v>9.1200000000000003E-2</v>
      </c>
      <c r="C21" s="646">
        <v>8.7499999999999994E-2</v>
      </c>
      <c r="D21" s="679">
        <v>0.1166</v>
      </c>
      <c r="E21" s="679">
        <v>0.12559999999999999</v>
      </c>
      <c r="F21" s="682">
        <v>8.5400000000000004E-2</v>
      </c>
      <c r="G21" s="682">
        <v>9.1399999999999995E-2</v>
      </c>
      <c r="H21" s="684"/>
      <c r="I21" s="684"/>
      <c r="K21" s="618" t="s">
        <v>62</v>
      </c>
      <c r="L21" s="647">
        <v>8.2100000000000006E-2</v>
      </c>
      <c r="M21" s="647">
        <v>8.3000000000000004E-2</v>
      </c>
      <c r="N21" s="654">
        <v>8.5000000000000006E-2</v>
      </c>
      <c r="O21" s="654">
        <v>8.5900000000000004E-2</v>
      </c>
      <c r="P21" s="642"/>
      <c r="Q21" s="642"/>
    </row>
    <row r="22" spans="1:17" ht="15" customHeight="1" x14ac:dyDescent="0.25">
      <c r="A22" s="618" t="s">
        <v>63</v>
      </c>
      <c r="B22" s="646">
        <v>7.3700000000000002E-2</v>
      </c>
      <c r="C22" s="646">
        <v>6.8500000000000005E-2</v>
      </c>
      <c r="D22" s="679">
        <v>9.5399999999999999E-2</v>
      </c>
      <c r="E22" s="679">
        <v>9.8100000000000007E-2</v>
      </c>
      <c r="F22" s="682">
        <v>8.2900000000000001E-2</v>
      </c>
      <c r="G22" s="682">
        <v>8.6900000000000005E-2</v>
      </c>
      <c r="H22" s="684"/>
      <c r="I22" s="684"/>
      <c r="K22" s="618" t="s">
        <v>63</v>
      </c>
      <c r="L22" s="647">
        <v>7.3700000000000002E-2</v>
      </c>
      <c r="M22" s="647">
        <v>6.8500000000000005E-2</v>
      </c>
      <c r="N22" s="654">
        <v>0.13100000000000001</v>
      </c>
      <c r="O22" s="654">
        <v>0.1328</v>
      </c>
      <c r="P22" s="642"/>
      <c r="Q22" s="642"/>
    </row>
    <row r="23" spans="1:17" ht="15" customHeight="1" x14ac:dyDescent="0.25">
      <c r="Q23" s="639"/>
    </row>
    <row r="24" spans="1:17" ht="15" customHeight="1" x14ac:dyDescent="0.25">
      <c r="A24" s="617" t="s">
        <v>230</v>
      </c>
      <c r="K24" s="617" t="s">
        <v>230</v>
      </c>
    </row>
    <row r="25" spans="1:17" ht="15" customHeight="1" x14ac:dyDescent="0.25">
      <c r="B25" s="618" t="s">
        <v>231</v>
      </c>
      <c r="C25" s="618"/>
      <c r="D25" s="618" t="s">
        <v>231</v>
      </c>
      <c r="E25" s="618"/>
      <c r="F25" s="618" t="s">
        <v>231</v>
      </c>
      <c r="G25" s="618"/>
      <c r="H25" s="618" t="s">
        <v>231</v>
      </c>
      <c r="I25" s="618"/>
      <c r="L25" s="618" t="s">
        <v>231</v>
      </c>
      <c r="M25" s="618"/>
      <c r="N25" s="618" t="s">
        <v>231</v>
      </c>
      <c r="O25" s="618"/>
      <c r="P25" s="618" t="s">
        <v>231</v>
      </c>
      <c r="Q25" s="618"/>
    </row>
    <row r="26" spans="1:17" ht="15" customHeight="1" x14ac:dyDescent="0.25">
      <c r="A26" s="618" t="s">
        <v>56</v>
      </c>
      <c r="B26" s="646">
        <f>AVERAGE(B15:C15)</f>
        <v>1.9074</v>
      </c>
      <c r="C26" s="645" t="s">
        <v>51</v>
      </c>
      <c r="D26" s="645">
        <f>AVERAGE(D15:E15)</f>
        <v>4.7300000000000002E-2</v>
      </c>
      <c r="F26" s="680">
        <f>AVERAGE(F15:G15)</f>
        <v>0.1003</v>
      </c>
      <c r="G26" s="681"/>
      <c r="H26" s="682">
        <f>AVERAGE(H15:I15)</f>
        <v>8.3100000000000007E-2</v>
      </c>
      <c r="K26" s="618" t="s">
        <v>56</v>
      </c>
      <c r="L26" s="648">
        <f>AVERAGE(L15:M15)</f>
        <v>1.9074</v>
      </c>
      <c r="M26" s="645" t="s">
        <v>51</v>
      </c>
      <c r="N26" s="644">
        <f>AVERAGE(N15:O15)</f>
        <v>4.6149999999999997E-2</v>
      </c>
      <c r="P26" s="654">
        <f>AVERAGE(P15:Q15)</f>
        <v>0.11865000000000001</v>
      </c>
    </row>
    <row r="27" spans="1:17" ht="15" customHeight="1" x14ac:dyDescent="0.25">
      <c r="A27" s="618" t="s">
        <v>57</v>
      </c>
      <c r="B27" s="646">
        <f t="shared" ref="B27:B33" si="0">AVERAGE(B16:C16)</f>
        <v>1.0607500000000001</v>
      </c>
      <c r="D27" s="680">
        <f>AVERAGE(D16:E16)</f>
        <v>7.7649999999999997E-2</v>
      </c>
      <c r="E27" s="681"/>
      <c r="F27" s="680">
        <f t="shared" ref="F27:F33" si="1">AVERAGE(F16:G16)</f>
        <v>9.4450000000000006E-2</v>
      </c>
      <c r="G27" s="681"/>
      <c r="H27" s="682">
        <f t="shared" ref="H27:H30" si="2">AVERAGE(H16:I16)</f>
        <v>9.7900000000000001E-2</v>
      </c>
      <c r="K27" s="618" t="s">
        <v>57</v>
      </c>
      <c r="L27" s="648">
        <f>AVERAGE(L16:M16)</f>
        <v>1.0016499999999999</v>
      </c>
      <c r="N27" s="650">
        <f>AVERAGE(N16:O16)</f>
        <v>0.12234999999999999</v>
      </c>
      <c r="P27" s="654">
        <f t="shared" ref="P27:P30" si="3">AVERAGE(P16:Q16)</f>
        <v>0.20755000000000001</v>
      </c>
    </row>
    <row r="28" spans="1:17" ht="15" customHeight="1" x14ac:dyDescent="0.25">
      <c r="A28" s="618" t="s">
        <v>58</v>
      </c>
      <c r="B28" s="646">
        <f t="shared" si="0"/>
        <v>0.50875000000000004</v>
      </c>
      <c r="D28" s="680">
        <f t="shared" ref="D28:D33" si="4">AVERAGE(D17:E17)</f>
        <v>0.1188</v>
      </c>
      <c r="E28" s="681"/>
      <c r="F28" s="682">
        <f t="shared" si="1"/>
        <v>8.1199999999999994E-2</v>
      </c>
      <c r="G28" s="681"/>
      <c r="H28" s="682">
        <f t="shared" si="2"/>
        <v>8.1949999999999995E-2</v>
      </c>
      <c r="K28" s="618" t="s">
        <v>58</v>
      </c>
      <c r="L28" s="648">
        <f>AVERAGE(L17:M17)</f>
        <v>0.5151</v>
      </c>
      <c r="N28" s="650">
        <f>AVERAGE(N17:O17)</f>
        <v>0.15734999999999999</v>
      </c>
      <c r="P28" s="654">
        <f t="shared" si="3"/>
        <v>0.2049</v>
      </c>
    </row>
    <row r="29" spans="1:17" ht="15" customHeight="1" x14ac:dyDescent="0.25">
      <c r="A29" s="618" t="s">
        <v>59</v>
      </c>
      <c r="B29" s="646">
        <f t="shared" si="0"/>
        <v>0.31140000000000001</v>
      </c>
      <c r="D29" s="680">
        <f t="shared" si="4"/>
        <v>9.5750000000000002E-2</v>
      </c>
      <c r="F29" s="682">
        <f t="shared" si="1"/>
        <v>8.3650000000000002E-2</v>
      </c>
      <c r="G29" s="681"/>
      <c r="H29" s="682">
        <f t="shared" si="2"/>
        <v>0.1013</v>
      </c>
      <c r="K29" s="618" t="s">
        <v>59</v>
      </c>
      <c r="L29" s="648">
        <f t="shared" ref="L29:L33" si="5">AVERAGE(L18:M18)</f>
        <v>0.30304999999999999</v>
      </c>
      <c r="N29" s="652">
        <f>AVERAGE(N18:O18)</f>
        <v>0.21925</v>
      </c>
      <c r="P29" s="654">
        <f t="shared" si="3"/>
        <v>0.13255</v>
      </c>
    </row>
    <row r="30" spans="1:17" ht="15" customHeight="1" x14ac:dyDescent="0.25">
      <c r="A30" s="618" t="s">
        <v>60</v>
      </c>
      <c r="B30" s="646">
        <f t="shared" si="0"/>
        <v>0.17275000000000001</v>
      </c>
      <c r="D30" s="680">
        <f t="shared" si="4"/>
        <v>8.7049999999999988E-2</v>
      </c>
      <c r="F30" s="682">
        <f t="shared" si="1"/>
        <v>8.5249999999999992E-2</v>
      </c>
      <c r="G30" s="681"/>
      <c r="H30" s="683">
        <f t="shared" si="2"/>
        <v>9.6799999999999997E-2</v>
      </c>
      <c r="K30" s="618" t="s">
        <v>60</v>
      </c>
      <c r="L30" s="648">
        <f t="shared" si="5"/>
        <v>0.1706</v>
      </c>
      <c r="N30" s="654">
        <f>AVERAGE(N19:O19)</f>
        <v>0.15445</v>
      </c>
      <c r="P30" s="654">
        <f t="shared" si="3"/>
        <v>0.26274999999999998</v>
      </c>
    </row>
    <row r="31" spans="1:17" ht="15" customHeight="1" x14ac:dyDescent="0.25">
      <c r="A31" s="618" t="s">
        <v>61</v>
      </c>
      <c r="B31" s="646">
        <f t="shared" si="0"/>
        <v>0.1124</v>
      </c>
      <c r="D31" s="680">
        <f t="shared" si="4"/>
        <v>8.7100000000000011E-2</v>
      </c>
      <c r="F31" s="682">
        <f t="shared" si="1"/>
        <v>8.7249999999999994E-2</v>
      </c>
      <c r="G31" s="681"/>
      <c r="H31" s="681"/>
      <c r="K31" s="618" t="s">
        <v>61</v>
      </c>
      <c r="L31" s="648">
        <f>AVERAGE(L20:M20)</f>
        <v>0.12615000000000001</v>
      </c>
      <c r="N31" s="654">
        <f>AVERAGE(N20:O20)</f>
        <v>0.2162</v>
      </c>
      <c r="P31" s="619"/>
    </row>
    <row r="32" spans="1:17" ht="15" customHeight="1" x14ac:dyDescent="0.25">
      <c r="A32" s="618" t="s">
        <v>62</v>
      </c>
      <c r="B32" s="646">
        <f t="shared" si="0"/>
        <v>8.9349999999999999E-2</v>
      </c>
      <c r="D32" s="680">
        <f t="shared" si="4"/>
        <v>0.12109999999999999</v>
      </c>
      <c r="F32" s="682">
        <f t="shared" si="1"/>
        <v>8.8400000000000006E-2</v>
      </c>
      <c r="G32" s="681"/>
      <c r="H32" s="681"/>
      <c r="K32" s="618" t="s">
        <v>62</v>
      </c>
      <c r="L32" s="648">
        <f t="shared" si="5"/>
        <v>8.2550000000000012E-2</v>
      </c>
      <c r="N32" s="654">
        <f t="shared" ref="N28:N33" si="6">AVERAGE(N21:O21)</f>
        <v>8.5449999999999998E-2</v>
      </c>
      <c r="P32" s="619"/>
    </row>
    <row r="33" spans="1:17" ht="15" customHeight="1" x14ac:dyDescent="0.25">
      <c r="A33" s="618" t="s">
        <v>63</v>
      </c>
      <c r="B33" s="646">
        <f t="shared" si="0"/>
        <v>7.1099999999999997E-2</v>
      </c>
      <c r="D33" s="680">
        <f t="shared" si="4"/>
        <v>9.6750000000000003E-2</v>
      </c>
      <c r="F33" s="682">
        <f t="shared" si="1"/>
        <v>8.4900000000000003E-2</v>
      </c>
      <c r="G33" s="681"/>
      <c r="H33" s="681"/>
      <c r="K33" s="618" t="s">
        <v>63</v>
      </c>
      <c r="L33" s="648">
        <f t="shared" si="5"/>
        <v>7.1099999999999997E-2</v>
      </c>
      <c r="N33" s="654">
        <f t="shared" si="6"/>
        <v>0.13190000000000002</v>
      </c>
      <c r="P33" s="619"/>
    </row>
    <row r="34" spans="1:17" ht="15" customHeight="1" x14ac:dyDescent="0.25">
      <c r="A34" s="618"/>
      <c r="B34" s="619"/>
      <c r="D34" s="619"/>
      <c r="F34" s="619"/>
      <c r="K34" s="618"/>
      <c r="L34" s="619"/>
      <c r="N34" s="619"/>
      <c r="P34" s="619"/>
    </row>
    <row r="35" spans="1:17" ht="15" customHeight="1" x14ac:dyDescent="0.25">
      <c r="B35" s="618" t="s">
        <v>232</v>
      </c>
      <c r="C35" s="618"/>
      <c r="D35" s="618" t="s">
        <v>232</v>
      </c>
      <c r="E35" s="618"/>
      <c r="F35" s="618" t="s">
        <v>232</v>
      </c>
      <c r="G35" s="618"/>
      <c r="H35" s="618" t="s">
        <v>232</v>
      </c>
      <c r="I35" s="618"/>
      <c r="L35" s="618" t="s">
        <v>232</v>
      </c>
      <c r="M35" s="618"/>
      <c r="N35" s="618" t="s">
        <v>232</v>
      </c>
      <c r="O35" s="618"/>
      <c r="P35" s="618" t="s">
        <v>232</v>
      </c>
      <c r="Q35" s="618"/>
    </row>
    <row r="36" spans="1:17" ht="15" customHeight="1" x14ac:dyDescent="0.25">
      <c r="A36" s="618" t="s">
        <v>56</v>
      </c>
      <c r="B36" s="646">
        <f>B26-$D$26</f>
        <v>1.8601000000000001</v>
      </c>
      <c r="C36" s="620"/>
      <c r="D36" s="621"/>
      <c r="F36" s="680">
        <f>F26-$D$26</f>
        <v>5.2999999999999999E-2</v>
      </c>
      <c r="H36" s="682">
        <f>H26-$D$26</f>
        <v>3.5800000000000005E-2</v>
      </c>
      <c r="K36" s="618" t="s">
        <v>56</v>
      </c>
      <c r="L36" s="648">
        <f>L26-$N$26</f>
        <v>1.8612500000000001</v>
      </c>
      <c r="M36" s="620"/>
      <c r="N36" s="621"/>
      <c r="P36" s="678">
        <f>P26-$N$26</f>
        <v>7.2500000000000009E-2</v>
      </c>
    </row>
    <row r="37" spans="1:17" ht="15" customHeight="1" x14ac:dyDescent="0.25">
      <c r="A37" s="618" t="s">
        <v>57</v>
      </c>
      <c r="B37" s="646">
        <f t="shared" ref="B37:B43" si="7">B27-$D$26</f>
        <v>1.0134500000000002</v>
      </c>
      <c r="D37" s="680">
        <f>D27-$D$26</f>
        <v>3.0349999999999995E-2</v>
      </c>
      <c r="F37" s="680">
        <f t="shared" ref="F37:F43" si="8">F27-$D$26</f>
        <v>4.7150000000000004E-2</v>
      </c>
      <c r="H37" s="682">
        <f t="shared" ref="H37:H40" si="9">H27-$D$26</f>
        <v>5.0599999999999999E-2</v>
      </c>
      <c r="K37" s="618" t="s">
        <v>57</v>
      </c>
      <c r="L37" s="648">
        <f t="shared" ref="L37:L40" si="10">L27-$N$26</f>
        <v>0.9554999999999999</v>
      </c>
      <c r="N37" s="676">
        <f>N27-$N$26</f>
        <v>7.619999999999999E-2</v>
      </c>
      <c r="P37" s="678">
        <f t="shared" ref="P37:P40" si="11">P27-$N$26</f>
        <v>0.16140000000000002</v>
      </c>
    </row>
    <row r="38" spans="1:17" ht="15" customHeight="1" x14ac:dyDescent="0.25">
      <c r="A38" s="618" t="s">
        <v>58</v>
      </c>
      <c r="B38" s="646">
        <f t="shared" si="7"/>
        <v>0.46145000000000003</v>
      </c>
      <c r="D38" s="680">
        <f t="shared" ref="D38:D43" si="12">D28-$D$26</f>
        <v>7.1500000000000008E-2</v>
      </c>
      <c r="F38" s="682">
        <f t="shared" si="8"/>
        <v>3.3899999999999993E-2</v>
      </c>
      <c r="H38" s="682">
        <f t="shared" si="9"/>
        <v>3.4649999999999993E-2</v>
      </c>
      <c r="K38" s="618" t="s">
        <v>58</v>
      </c>
      <c r="L38" s="648">
        <f t="shared" si="10"/>
        <v>0.46894999999999998</v>
      </c>
      <c r="N38" s="676">
        <f>N28-$N$26</f>
        <v>0.11119999999999999</v>
      </c>
      <c r="P38" s="678">
        <f t="shared" si="11"/>
        <v>0.15875</v>
      </c>
    </row>
    <row r="39" spans="1:17" ht="15" customHeight="1" x14ac:dyDescent="0.25">
      <c r="A39" s="618" t="s">
        <v>59</v>
      </c>
      <c r="B39" s="646">
        <f t="shared" si="7"/>
        <v>0.2641</v>
      </c>
      <c r="D39" s="680">
        <f t="shared" si="12"/>
        <v>4.845E-2</v>
      </c>
      <c r="F39" s="682">
        <f t="shared" si="8"/>
        <v>3.635E-2</v>
      </c>
      <c r="H39" s="682">
        <f t="shared" si="9"/>
        <v>5.3999999999999999E-2</v>
      </c>
      <c r="K39" s="618" t="s">
        <v>59</v>
      </c>
      <c r="L39" s="648">
        <f t="shared" si="10"/>
        <v>0.25690000000000002</v>
      </c>
      <c r="N39" s="677">
        <f>N29-$N$26</f>
        <v>0.1731</v>
      </c>
      <c r="P39" s="678">
        <f t="shared" si="11"/>
        <v>8.6400000000000005E-2</v>
      </c>
    </row>
    <row r="40" spans="1:17" ht="15" customHeight="1" x14ac:dyDescent="0.25">
      <c r="A40" s="618" t="s">
        <v>60</v>
      </c>
      <c r="B40" s="646">
        <f t="shared" si="7"/>
        <v>0.12545000000000001</v>
      </c>
      <c r="D40" s="680">
        <f t="shared" si="12"/>
        <v>3.9749999999999987E-2</v>
      </c>
      <c r="F40" s="682">
        <f t="shared" si="8"/>
        <v>3.7949999999999991E-2</v>
      </c>
      <c r="H40" s="683">
        <f t="shared" si="9"/>
        <v>4.9499999999999995E-2</v>
      </c>
      <c r="K40" s="618" t="s">
        <v>60</v>
      </c>
      <c r="L40" s="648">
        <f t="shared" si="10"/>
        <v>0.12445000000000001</v>
      </c>
      <c r="N40" s="678">
        <f>N30-$N$26</f>
        <v>0.10830000000000001</v>
      </c>
      <c r="P40" s="678">
        <f t="shared" si="11"/>
        <v>0.21659999999999999</v>
      </c>
    </row>
    <row r="41" spans="1:17" ht="15" customHeight="1" x14ac:dyDescent="0.25">
      <c r="A41" s="618" t="s">
        <v>61</v>
      </c>
      <c r="B41" s="646">
        <f t="shared" si="7"/>
        <v>6.5099999999999991E-2</v>
      </c>
      <c r="D41" s="680">
        <f t="shared" si="12"/>
        <v>3.9800000000000009E-2</v>
      </c>
      <c r="F41" s="682">
        <f t="shared" si="8"/>
        <v>3.9949999999999992E-2</v>
      </c>
      <c r="H41" s="681"/>
      <c r="K41" s="618" t="s">
        <v>61</v>
      </c>
      <c r="L41" s="648">
        <f>L31-$N$26</f>
        <v>8.0000000000000016E-2</v>
      </c>
      <c r="N41" s="678">
        <f t="shared" ref="N41:N43" si="13">N31-$N$26</f>
        <v>0.17005000000000001</v>
      </c>
      <c r="P41" s="619"/>
    </row>
    <row r="42" spans="1:17" ht="15" customHeight="1" x14ac:dyDescent="0.25">
      <c r="A42" s="618" t="s">
        <v>62</v>
      </c>
      <c r="B42" s="646">
        <f t="shared" si="7"/>
        <v>4.2049999999999997E-2</v>
      </c>
      <c r="D42" s="680">
        <f t="shared" si="12"/>
        <v>7.3799999999999977E-2</v>
      </c>
      <c r="F42" s="682">
        <f t="shared" si="8"/>
        <v>4.1100000000000005E-2</v>
      </c>
      <c r="K42" s="618" t="s">
        <v>62</v>
      </c>
      <c r="L42" s="648">
        <f>L32-$N$26</f>
        <v>3.6400000000000016E-2</v>
      </c>
      <c r="N42" s="678">
        <f t="shared" si="13"/>
        <v>3.9300000000000002E-2</v>
      </c>
      <c r="P42" s="619"/>
    </row>
    <row r="43" spans="1:17" ht="15" customHeight="1" x14ac:dyDescent="0.25">
      <c r="A43" s="618" t="s">
        <v>63</v>
      </c>
      <c r="B43" s="646">
        <f t="shared" si="7"/>
        <v>2.3799999999999995E-2</v>
      </c>
      <c r="D43" s="680">
        <f t="shared" si="12"/>
        <v>4.9450000000000001E-2</v>
      </c>
      <c r="F43" s="682">
        <f t="shared" si="8"/>
        <v>3.7600000000000001E-2</v>
      </c>
      <c r="K43" s="618" t="s">
        <v>63</v>
      </c>
      <c r="L43" s="648">
        <f>L33-$N$26</f>
        <v>2.495E-2</v>
      </c>
      <c r="N43" s="678">
        <f t="shared" si="13"/>
        <v>8.5750000000000021E-2</v>
      </c>
      <c r="P43" s="619"/>
    </row>
    <row r="44" spans="1:17" ht="15" customHeight="1" thickBot="1" x14ac:dyDescent="0.3"/>
    <row r="45" spans="1:17" ht="15" customHeight="1" x14ac:dyDescent="0.3">
      <c r="A45" s="671" t="s">
        <v>218</v>
      </c>
      <c r="B45" s="672" t="s">
        <v>233</v>
      </c>
      <c r="C45" s="673" t="s">
        <v>189</v>
      </c>
      <c r="K45" s="674" t="s">
        <v>218</v>
      </c>
      <c r="L45" s="672" t="s">
        <v>233</v>
      </c>
      <c r="M45" s="673" t="s">
        <v>189</v>
      </c>
    </row>
    <row r="46" spans="1:17" ht="15" customHeight="1" x14ac:dyDescent="0.25">
      <c r="A46" s="669" t="s">
        <v>222</v>
      </c>
      <c r="B46" s="634">
        <v>125</v>
      </c>
      <c r="C46" s="656">
        <f>B36</f>
        <v>1.8601000000000001</v>
      </c>
      <c r="K46" s="655" t="s">
        <v>222</v>
      </c>
      <c r="L46" s="634">
        <v>125</v>
      </c>
      <c r="M46" s="656">
        <f>L36</f>
        <v>1.8612500000000001</v>
      </c>
    </row>
    <row r="47" spans="1:17" ht="15" customHeight="1" x14ac:dyDescent="0.25">
      <c r="A47" s="669" t="s">
        <v>223</v>
      </c>
      <c r="B47" s="634">
        <v>62.5</v>
      </c>
      <c r="C47" s="656">
        <f t="shared" ref="C47:C53" si="14">B37</f>
        <v>1.0134500000000002</v>
      </c>
      <c r="K47" s="655" t="s">
        <v>223</v>
      </c>
      <c r="L47" s="634">
        <v>62.5</v>
      </c>
      <c r="M47" s="656">
        <f>L37</f>
        <v>0.9554999999999999</v>
      </c>
    </row>
    <row r="48" spans="1:17" ht="15" customHeight="1" x14ac:dyDescent="0.25">
      <c r="A48" s="669" t="s">
        <v>224</v>
      </c>
      <c r="B48" s="634">
        <v>31.25</v>
      </c>
      <c r="C48" s="656">
        <f t="shared" si="14"/>
        <v>0.46145000000000003</v>
      </c>
      <c r="K48" s="655" t="s">
        <v>224</v>
      </c>
      <c r="L48" s="634">
        <v>31.25</v>
      </c>
      <c r="M48" s="656">
        <f t="shared" ref="M48:M53" si="15">L38</f>
        <v>0.46894999999999998</v>
      </c>
    </row>
    <row r="49" spans="1:17" ht="15" customHeight="1" x14ac:dyDescent="0.25">
      <c r="A49" s="669" t="s">
        <v>225</v>
      </c>
      <c r="B49" s="634">
        <v>15.63</v>
      </c>
      <c r="C49" s="656">
        <f t="shared" si="14"/>
        <v>0.2641</v>
      </c>
      <c r="K49" s="655" t="s">
        <v>225</v>
      </c>
      <c r="L49" s="634">
        <v>15.63</v>
      </c>
      <c r="M49" s="656">
        <f t="shared" si="15"/>
        <v>0.25690000000000002</v>
      </c>
    </row>
    <row r="50" spans="1:17" ht="15" customHeight="1" x14ac:dyDescent="0.25">
      <c r="A50" s="669" t="s">
        <v>226</v>
      </c>
      <c r="B50" s="634">
        <v>7.81</v>
      </c>
      <c r="C50" s="656">
        <f t="shared" si="14"/>
        <v>0.12545000000000001</v>
      </c>
      <c r="K50" s="655" t="s">
        <v>226</v>
      </c>
      <c r="L50" s="634">
        <v>7.81</v>
      </c>
      <c r="M50" s="656">
        <f t="shared" si="15"/>
        <v>0.12445000000000001</v>
      </c>
    </row>
    <row r="51" spans="1:17" ht="15" customHeight="1" x14ac:dyDescent="0.25">
      <c r="A51" s="669" t="s">
        <v>227</v>
      </c>
      <c r="B51" s="634">
        <v>3.91</v>
      </c>
      <c r="C51" s="656">
        <f t="shared" si="14"/>
        <v>6.5099999999999991E-2</v>
      </c>
      <c r="K51" s="655" t="s">
        <v>227</v>
      </c>
      <c r="L51" s="634">
        <v>3.91</v>
      </c>
      <c r="M51" s="656">
        <f t="shared" si="15"/>
        <v>8.0000000000000016E-2</v>
      </c>
    </row>
    <row r="52" spans="1:17" ht="15" customHeight="1" x14ac:dyDescent="0.25">
      <c r="A52" s="669" t="s">
        <v>228</v>
      </c>
      <c r="B52" s="634">
        <v>1.95</v>
      </c>
      <c r="C52" s="656">
        <f t="shared" si="14"/>
        <v>4.2049999999999997E-2</v>
      </c>
      <c r="K52" s="655" t="s">
        <v>228</v>
      </c>
      <c r="L52" s="634">
        <v>1.95</v>
      </c>
      <c r="M52" s="656">
        <f>L42</f>
        <v>3.6400000000000016E-2</v>
      </c>
    </row>
    <row r="53" spans="1:17" ht="15" customHeight="1" thickBot="1" x14ac:dyDescent="0.3">
      <c r="A53" s="670" t="s">
        <v>229</v>
      </c>
      <c r="B53" s="658">
        <v>0.98</v>
      </c>
      <c r="C53" s="659">
        <f t="shared" si="14"/>
        <v>2.3799999999999995E-2</v>
      </c>
      <c r="K53" s="657" t="s">
        <v>229</v>
      </c>
      <c r="L53" s="658">
        <v>0.98</v>
      </c>
      <c r="M53" s="659">
        <f t="shared" si="15"/>
        <v>2.495E-2</v>
      </c>
    </row>
    <row r="54" spans="1:17" ht="15" customHeight="1" x14ac:dyDescent="0.25">
      <c r="A54" s="618"/>
      <c r="C54" s="619"/>
      <c r="K54" s="618"/>
      <c r="M54" s="619"/>
    </row>
    <row r="55" spans="1:17" ht="15" customHeight="1" thickBot="1" x14ac:dyDescent="0.3">
      <c r="A55" s="618"/>
      <c r="K55" s="618"/>
    </row>
    <row r="56" spans="1:17" ht="15" customHeight="1" x14ac:dyDescent="0.3">
      <c r="A56" s="622" t="s">
        <v>218</v>
      </c>
      <c r="B56" s="623" t="s">
        <v>27</v>
      </c>
      <c r="C56" s="624">
        <v>1.4999999999999999E-2</v>
      </c>
      <c r="K56" s="622" t="s">
        <v>218</v>
      </c>
      <c r="L56" s="623" t="s">
        <v>27</v>
      </c>
      <c r="M56" s="624">
        <v>1.4800000000000001E-2</v>
      </c>
    </row>
    <row r="57" spans="1:17" ht="15" customHeight="1" thickBot="1" x14ac:dyDescent="0.35">
      <c r="A57" s="625" t="s">
        <v>234</v>
      </c>
      <c r="B57" s="626" t="s">
        <v>235</v>
      </c>
      <c r="C57" s="627">
        <v>1.6199999999999999E-2</v>
      </c>
      <c r="K57" s="625" t="s">
        <v>234</v>
      </c>
      <c r="L57" s="626" t="s">
        <v>235</v>
      </c>
      <c r="M57" s="627">
        <v>1.47E-2</v>
      </c>
    </row>
    <row r="60" spans="1:17" ht="15" customHeight="1" x14ac:dyDescent="0.25">
      <c r="C60" s="628" t="s">
        <v>236</v>
      </c>
      <c r="G60" s="629"/>
      <c r="M60" s="628" t="s">
        <v>236</v>
      </c>
      <c r="Q60" s="629"/>
    </row>
    <row r="61" spans="1:17" ht="15" customHeight="1" x14ac:dyDescent="0.25">
      <c r="C61" s="618" t="s">
        <v>10</v>
      </c>
      <c r="E61" s="660" t="s">
        <v>144</v>
      </c>
      <c r="F61" s="630">
        <f t="shared" ref="F61:F68" si="16">(F36-$C$57)/$C$56</f>
        <v>2.4533333333333336</v>
      </c>
      <c r="G61" s="661" t="s">
        <v>75</v>
      </c>
      <c r="H61" s="630">
        <f>(H36-$C$57)/$C$56</f>
        <v>1.3066666666666671</v>
      </c>
      <c r="M61" s="618" t="s">
        <v>10</v>
      </c>
      <c r="N61" s="666"/>
      <c r="O61" s="662" t="s">
        <v>79</v>
      </c>
      <c r="P61" s="663">
        <f>(P36-$M$57)/$M$56</f>
        <v>3.9054054054054061</v>
      </c>
      <c r="Q61" s="635"/>
    </row>
    <row r="62" spans="1:17" ht="15" customHeight="1" x14ac:dyDescent="0.25">
      <c r="C62" s="660" t="s">
        <v>135</v>
      </c>
      <c r="D62" s="630">
        <f t="shared" ref="D62:D68" si="17">(D37-$C$57)/$C$56</f>
        <v>0.94333333333333313</v>
      </c>
      <c r="E62" s="660" t="s">
        <v>145</v>
      </c>
      <c r="F62" s="630">
        <f t="shared" si="16"/>
        <v>2.0633333333333339</v>
      </c>
      <c r="G62" s="661" t="s">
        <v>76</v>
      </c>
      <c r="H62" s="630">
        <f t="shared" ref="H62:H65" si="18">(H37-$C$57)/$C$56</f>
        <v>2.2933333333333334</v>
      </c>
      <c r="M62" s="660" t="s">
        <v>135</v>
      </c>
      <c r="N62" s="663">
        <f>(N37-$M$57)/$M$56</f>
        <v>4.1554054054054044</v>
      </c>
      <c r="O62" s="662" t="s">
        <v>80</v>
      </c>
      <c r="P62" s="663">
        <f t="shared" ref="P62:P65" si="19">(P37-$M$57)/$M$56</f>
        <v>9.9121621621621632</v>
      </c>
      <c r="Q62" s="635"/>
    </row>
    <row r="63" spans="1:17" ht="15" customHeight="1" x14ac:dyDescent="0.25">
      <c r="C63" s="660" t="s">
        <v>137</v>
      </c>
      <c r="D63" s="630">
        <f t="shared" si="17"/>
        <v>3.6866666666666674</v>
      </c>
      <c r="E63" s="661" t="s">
        <v>69</v>
      </c>
      <c r="F63" s="630">
        <f t="shared" si="16"/>
        <v>1.1799999999999997</v>
      </c>
      <c r="G63" s="661" t="s">
        <v>77</v>
      </c>
      <c r="H63" s="630">
        <f t="shared" si="18"/>
        <v>1.2299999999999998</v>
      </c>
      <c r="M63" s="660" t="s">
        <v>142</v>
      </c>
      <c r="N63" s="663">
        <f t="shared" ref="N63:N68" si="20">(N38-$M$57)/$M$56</f>
        <v>6.5202702702702693</v>
      </c>
      <c r="O63" s="662" t="s">
        <v>81</v>
      </c>
      <c r="P63" s="663">
        <f t="shared" si="19"/>
        <v>9.7331081081081088</v>
      </c>
      <c r="Q63" s="635"/>
    </row>
    <row r="64" spans="1:17" ht="15" customHeight="1" x14ac:dyDescent="0.25">
      <c r="C64" s="660" t="s">
        <v>139</v>
      </c>
      <c r="D64" s="630">
        <f t="shared" si="17"/>
        <v>2.1500000000000004</v>
      </c>
      <c r="E64" s="661" t="s">
        <v>70</v>
      </c>
      <c r="F64" s="630">
        <f t="shared" si="16"/>
        <v>1.3433333333333335</v>
      </c>
      <c r="G64" s="661" t="s">
        <v>149</v>
      </c>
      <c r="H64" s="630">
        <f t="shared" si="18"/>
        <v>2.52</v>
      </c>
      <c r="M64" s="661" t="s">
        <v>76</v>
      </c>
      <c r="N64" s="663">
        <f t="shared" si="20"/>
        <v>10.702702702702704</v>
      </c>
      <c r="O64" s="662" t="s">
        <v>156</v>
      </c>
      <c r="P64" s="663">
        <f t="shared" si="19"/>
        <v>4.8445945945945947</v>
      </c>
      <c r="Q64" s="635"/>
    </row>
    <row r="65" spans="1:17" ht="15" customHeight="1" x14ac:dyDescent="0.25">
      <c r="C65" s="660" t="s">
        <v>140</v>
      </c>
      <c r="D65" s="630">
        <f t="shared" si="17"/>
        <v>1.5699999999999992</v>
      </c>
      <c r="E65" s="661" t="s">
        <v>71</v>
      </c>
      <c r="F65" s="630">
        <f t="shared" si="16"/>
        <v>1.4499999999999995</v>
      </c>
      <c r="G65" s="662" t="s">
        <v>150</v>
      </c>
      <c r="H65" s="630">
        <f t="shared" si="18"/>
        <v>2.2199999999999998</v>
      </c>
      <c r="M65" s="662" t="s">
        <v>152</v>
      </c>
      <c r="N65" s="663">
        <f t="shared" si="20"/>
        <v>6.3243243243243246</v>
      </c>
      <c r="O65" s="662" t="s">
        <v>87</v>
      </c>
      <c r="P65" s="663">
        <f t="shared" si="19"/>
        <v>13.641891891891891</v>
      </c>
      <c r="Q65" s="635"/>
    </row>
    <row r="66" spans="1:17" ht="15" customHeight="1" x14ac:dyDescent="0.25">
      <c r="C66" s="660" t="s">
        <v>141</v>
      </c>
      <c r="D66" s="630">
        <f t="shared" si="17"/>
        <v>1.5733333333333341</v>
      </c>
      <c r="E66" s="661" t="s">
        <v>72</v>
      </c>
      <c r="F66" s="630">
        <f t="shared" si="16"/>
        <v>1.583333333333333</v>
      </c>
      <c r="G66" s="633"/>
      <c r="H66" s="630"/>
      <c r="M66" s="662" t="s">
        <v>78</v>
      </c>
      <c r="N66" s="663">
        <f t="shared" si="20"/>
        <v>10.496621621621623</v>
      </c>
      <c r="O66" s="635"/>
      <c r="P66" s="664"/>
      <c r="Q66" s="635"/>
    </row>
    <row r="67" spans="1:17" ht="15" customHeight="1" x14ac:dyDescent="0.25">
      <c r="C67" s="660" t="s">
        <v>142</v>
      </c>
      <c r="D67" s="630">
        <f t="shared" si="17"/>
        <v>3.8399999999999985</v>
      </c>
      <c r="E67" s="661" t="s">
        <v>73</v>
      </c>
      <c r="F67" s="630">
        <f t="shared" si="16"/>
        <v>1.6600000000000004</v>
      </c>
      <c r="G67" s="630"/>
      <c r="H67" s="630"/>
      <c r="M67" s="662" t="s">
        <v>153</v>
      </c>
      <c r="N67" s="663">
        <f t="shared" si="20"/>
        <v>1.6621621621621623</v>
      </c>
      <c r="O67" s="635"/>
      <c r="P67" s="664"/>
      <c r="Q67" s="636"/>
    </row>
    <row r="68" spans="1:17" ht="15" customHeight="1" x14ac:dyDescent="0.25">
      <c r="C68" s="660" t="s">
        <v>143</v>
      </c>
      <c r="D68" s="630">
        <f t="shared" si="17"/>
        <v>2.2166666666666668</v>
      </c>
      <c r="E68" s="661" t="s">
        <v>74</v>
      </c>
      <c r="F68" s="630">
        <f t="shared" si="16"/>
        <v>1.426666666666667</v>
      </c>
      <c r="G68" s="630"/>
      <c r="H68" s="630"/>
      <c r="M68" s="662" t="s">
        <v>154</v>
      </c>
      <c r="N68" s="663">
        <f t="shared" si="20"/>
        <v>4.8006756756756763</v>
      </c>
      <c r="O68" s="635"/>
      <c r="P68" s="664"/>
      <c r="Q68" s="636"/>
    </row>
    <row r="69" spans="1:17" ht="15" customHeight="1" x14ac:dyDescent="0.25">
      <c r="F69" s="631"/>
      <c r="G69" s="631"/>
      <c r="H69" s="631"/>
      <c r="N69" s="663"/>
      <c r="P69" s="665"/>
      <c r="Q69" s="637"/>
    </row>
    <row r="70" spans="1:17" ht="15" customHeight="1" x14ac:dyDescent="0.25">
      <c r="A70" s="616" t="s">
        <v>237</v>
      </c>
      <c r="K70" s="616" t="s">
        <v>237</v>
      </c>
      <c r="N70" s="663"/>
      <c r="P70" s="639"/>
      <c r="Q70" s="638"/>
    </row>
    <row r="71" spans="1:17" ht="15" customHeight="1" x14ac:dyDescent="0.25">
      <c r="A71" s="617" t="s">
        <v>238</v>
      </c>
      <c r="C71" s="628" t="s">
        <v>239</v>
      </c>
      <c r="K71" s="617" t="s">
        <v>238</v>
      </c>
      <c r="M71" s="628" t="s">
        <v>239</v>
      </c>
      <c r="N71" s="663"/>
      <c r="P71" s="639"/>
      <c r="Q71" s="638"/>
    </row>
    <row r="72" spans="1:17" ht="15" customHeight="1" x14ac:dyDescent="0.25">
      <c r="A72" s="632"/>
      <c r="E72" s="660" t="s">
        <v>144</v>
      </c>
      <c r="F72" s="630">
        <f>F61*5</f>
        <v>12.266666666666667</v>
      </c>
      <c r="G72" s="661" t="s">
        <v>75</v>
      </c>
      <c r="H72" s="630">
        <f>H61*5</f>
        <v>6.533333333333335</v>
      </c>
      <c r="K72" s="632"/>
      <c r="N72" s="663"/>
      <c r="O72" s="662" t="s">
        <v>79</v>
      </c>
      <c r="P72" s="663">
        <f>P61*5</f>
        <v>19.527027027027032</v>
      </c>
      <c r="Q72" s="635"/>
    </row>
    <row r="73" spans="1:17" ht="15" customHeight="1" x14ac:dyDescent="0.25">
      <c r="C73" s="660" t="s">
        <v>135</v>
      </c>
      <c r="D73" s="688"/>
      <c r="E73" s="660" t="s">
        <v>145</v>
      </c>
      <c r="F73" s="630">
        <f t="shared" ref="F73:F79" si="21">F62*5</f>
        <v>10.31666666666667</v>
      </c>
      <c r="G73" s="661" t="s">
        <v>76</v>
      </c>
      <c r="H73" s="630">
        <f t="shared" ref="H73:H76" si="22">H62*5</f>
        <v>11.466666666666667</v>
      </c>
      <c r="M73" s="660" t="s">
        <v>135</v>
      </c>
      <c r="N73" s="663">
        <f>N62*5</f>
        <v>20.777027027027021</v>
      </c>
      <c r="O73" s="662" t="s">
        <v>80</v>
      </c>
      <c r="P73" s="663">
        <f t="shared" ref="P73:P76" si="23">P62*5</f>
        <v>49.560810810810814</v>
      </c>
      <c r="Q73" s="635"/>
    </row>
    <row r="74" spans="1:17" ht="15" customHeight="1" x14ac:dyDescent="0.25">
      <c r="C74" s="660" t="s">
        <v>137</v>
      </c>
      <c r="D74" s="630">
        <f t="shared" ref="D74:D79" si="24">D63*5</f>
        <v>18.433333333333337</v>
      </c>
      <c r="E74" s="661" t="s">
        <v>69</v>
      </c>
      <c r="F74" s="630">
        <f t="shared" si="21"/>
        <v>5.8999999999999986</v>
      </c>
      <c r="G74" s="661" t="s">
        <v>77</v>
      </c>
      <c r="H74" s="630">
        <f t="shared" si="22"/>
        <v>6.1499999999999986</v>
      </c>
      <c r="M74" s="660" t="s">
        <v>142</v>
      </c>
      <c r="N74" s="663"/>
      <c r="O74" s="662" t="s">
        <v>81</v>
      </c>
      <c r="P74" s="663">
        <f t="shared" si="23"/>
        <v>48.665540540540547</v>
      </c>
      <c r="Q74" s="635"/>
    </row>
    <row r="75" spans="1:17" ht="15" customHeight="1" x14ac:dyDescent="0.25">
      <c r="C75" s="660" t="s">
        <v>139</v>
      </c>
      <c r="D75" s="630">
        <f t="shared" si="24"/>
        <v>10.750000000000002</v>
      </c>
      <c r="E75" s="661" t="s">
        <v>70</v>
      </c>
      <c r="F75" s="630">
        <f t="shared" si="21"/>
        <v>6.7166666666666677</v>
      </c>
      <c r="G75" s="661" t="s">
        <v>149</v>
      </c>
      <c r="H75" s="630">
        <f t="shared" si="22"/>
        <v>12.6</v>
      </c>
      <c r="M75" s="661" t="s">
        <v>76</v>
      </c>
      <c r="N75" s="663"/>
      <c r="O75" s="662" t="s">
        <v>156</v>
      </c>
      <c r="P75" s="663">
        <f t="shared" si="23"/>
        <v>24.222972972972975</v>
      </c>
      <c r="Q75" s="635"/>
    </row>
    <row r="76" spans="1:17" ht="15" customHeight="1" x14ac:dyDescent="0.25">
      <c r="C76" s="660" t="s">
        <v>140</v>
      </c>
      <c r="D76" s="630">
        <f t="shared" si="24"/>
        <v>7.8499999999999961</v>
      </c>
      <c r="E76" s="661" t="s">
        <v>71</v>
      </c>
      <c r="F76" s="630">
        <f t="shared" si="21"/>
        <v>7.2499999999999973</v>
      </c>
      <c r="G76" s="662" t="s">
        <v>150</v>
      </c>
      <c r="H76" s="630">
        <f t="shared" si="22"/>
        <v>11.099999999999998</v>
      </c>
      <c r="M76" s="662" t="s">
        <v>152</v>
      </c>
      <c r="N76" s="663">
        <f t="shared" ref="N74:N79" si="25">N65*5</f>
        <v>31.621621621621621</v>
      </c>
      <c r="O76" s="662" t="s">
        <v>87</v>
      </c>
      <c r="P76" s="663">
        <f t="shared" si="23"/>
        <v>68.209459459459453</v>
      </c>
      <c r="Q76" s="635"/>
    </row>
    <row r="77" spans="1:17" ht="15" customHeight="1" x14ac:dyDescent="0.25">
      <c r="C77" s="660" t="s">
        <v>141</v>
      </c>
      <c r="D77" s="630">
        <f t="shared" si="24"/>
        <v>7.8666666666666707</v>
      </c>
      <c r="E77" s="661" t="s">
        <v>72</v>
      </c>
      <c r="F77" s="630">
        <f t="shared" si="21"/>
        <v>7.9166666666666652</v>
      </c>
      <c r="G77" s="633"/>
      <c r="H77" s="630"/>
      <c r="M77" s="662" t="s">
        <v>78</v>
      </c>
      <c r="N77" s="663">
        <f t="shared" si="25"/>
        <v>52.483108108108112</v>
      </c>
      <c r="O77" s="635"/>
      <c r="P77" s="630"/>
      <c r="Q77" s="635"/>
    </row>
    <row r="78" spans="1:17" ht="15" customHeight="1" x14ac:dyDescent="0.25">
      <c r="C78" s="660" t="s">
        <v>142</v>
      </c>
      <c r="D78" s="630">
        <f t="shared" si="24"/>
        <v>19.199999999999992</v>
      </c>
      <c r="E78" s="661" t="s">
        <v>73</v>
      </c>
      <c r="F78" s="630">
        <f t="shared" si="21"/>
        <v>8.3000000000000025</v>
      </c>
      <c r="G78" s="630"/>
      <c r="H78" s="630"/>
      <c r="M78" s="662" t="s">
        <v>153</v>
      </c>
      <c r="N78" s="663">
        <f t="shared" si="25"/>
        <v>8.3108108108108105</v>
      </c>
      <c r="O78" s="635"/>
      <c r="P78" s="630"/>
      <c r="Q78" s="633"/>
    </row>
    <row r="79" spans="1:17" ht="15" customHeight="1" x14ac:dyDescent="0.25">
      <c r="C79" s="660" t="s">
        <v>143</v>
      </c>
      <c r="D79" s="630">
        <f t="shared" si="24"/>
        <v>11.083333333333334</v>
      </c>
      <c r="E79" s="661" t="s">
        <v>74</v>
      </c>
      <c r="F79" s="630">
        <f t="shared" si="21"/>
        <v>7.1333333333333346</v>
      </c>
      <c r="G79" s="630"/>
      <c r="H79" s="630"/>
      <c r="M79" s="662" t="s">
        <v>154</v>
      </c>
      <c r="N79" s="663">
        <f t="shared" si="25"/>
        <v>24.003378378378383</v>
      </c>
      <c r="O79" s="635"/>
      <c r="P79" s="630"/>
      <c r="Q79" s="630"/>
    </row>
    <row r="80" spans="1:17" ht="15" customHeight="1" x14ac:dyDescent="0.25">
      <c r="F80" s="630"/>
      <c r="G80" s="630"/>
      <c r="H80" s="630"/>
      <c r="N80" s="667"/>
      <c r="P80" s="630"/>
      <c r="Q80" s="630"/>
    </row>
    <row r="83" spans="1:12" ht="15" customHeight="1" thickBot="1" x14ac:dyDescent="0.35">
      <c r="A83" s="686" t="s">
        <v>219</v>
      </c>
      <c r="B83" s="686" t="s">
        <v>240</v>
      </c>
      <c r="C83" s="687" t="s">
        <v>241</v>
      </c>
      <c r="D83" s="319"/>
    </row>
    <row r="84" spans="1:12" ht="15" customHeight="1" thickBot="1" x14ac:dyDescent="0.35">
      <c r="A84" s="660" t="s">
        <v>135</v>
      </c>
      <c r="B84" s="616">
        <v>13.603174603174603</v>
      </c>
      <c r="F84" s="179"/>
      <c r="G84" s="696" t="s">
        <v>242</v>
      </c>
      <c r="H84" s="697" t="s">
        <v>243</v>
      </c>
      <c r="I84" s="194" t="s">
        <v>93</v>
      </c>
      <c r="J84" s="220" t="s">
        <v>106</v>
      </c>
      <c r="K84" s="220" t="s">
        <v>107</v>
      </c>
      <c r="L84" s="220" t="s">
        <v>108</v>
      </c>
    </row>
    <row r="85" spans="1:12" ht="15" customHeight="1" x14ac:dyDescent="0.3">
      <c r="A85" s="660" t="s">
        <v>137</v>
      </c>
      <c r="B85" s="616">
        <v>15.507936507936508</v>
      </c>
      <c r="C85" s="616">
        <f t="shared" ref="C85:C95" si="26">D74/B85</f>
        <v>1.1886386898669399</v>
      </c>
      <c r="F85" s="693" t="s">
        <v>88</v>
      </c>
      <c r="G85" s="346">
        <f>AVERAGE(C103:C111)</f>
        <v>3.0241934600074214</v>
      </c>
      <c r="H85" s="17">
        <f>_xlfn.STDEV.S(C103:C111)</f>
        <v>1.1843759846999944</v>
      </c>
      <c r="I85" s="692" t="s">
        <v>56</v>
      </c>
      <c r="J85" t="s">
        <v>103</v>
      </c>
      <c r="K85" s="199">
        <v>1.0000000000000001E-15</v>
      </c>
      <c r="L85" s="223">
        <f>(G86-G85)/G85</f>
        <v>-0.69283312561269916</v>
      </c>
    </row>
    <row r="86" spans="1:12" ht="15" customHeight="1" x14ac:dyDescent="0.3">
      <c r="A86" s="660" t="s">
        <v>139</v>
      </c>
      <c r="B86" s="616">
        <v>14.793650793650794</v>
      </c>
      <c r="C86" s="616">
        <f t="shared" si="26"/>
        <v>0.72666309012875541</v>
      </c>
      <c r="F86" s="694" t="s">
        <v>89</v>
      </c>
      <c r="G86" s="346">
        <f>AVERAGE(C84:C92)</f>
        <v>0.92893205265299617</v>
      </c>
      <c r="H86" s="17">
        <f>_xlfn.STDEV.S(C84:C92)</f>
        <v>0.2339513012459046</v>
      </c>
      <c r="I86" s="692" t="s">
        <v>57</v>
      </c>
      <c r="J86" t="s">
        <v>104</v>
      </c>
      <c r="K86" s="199">
        <v>1.0000000000000001E-15</v>
      </c>
      <c r="L86" s="223">
        <f>(G87-G85)/G85</f>
        <v>-0.79892147980853101</v>
      </c>
    </row>
    <row r="87" spans="1:12" ht="15" customHeight="1" thickBot="1" x14ac:dyDescent="0.35">
      <c r="A87" s="660" t="s">
        <v>140</v>
      </c>
      <c r="B87" s="616">
        <v>12.630952380952381</v>
      </c>
      <c r="F87" s="695" t="s">
        <v>90</v>
      </c>
      <c r="G87" s="348">
        <f>AVERAGE(C93:C102)</f>
        <v>0.6081003457110109</v>
      </c>
      <c r="H87" s="167">
        <f>_xlfn.STDEV.S(C93:C102)</f>
        <v>8.1699057616076293E-2</v>
      </c>
      <c r="I87" s="692" t="s">
        <v>57</v>
      </c>
      <c r="J87" t="s">
        <v>105</v>
      </c>
      <c r="K87">
        <v>0.57339716350000003</v>
      </c>
      <c r="L87"/>
    </row>
    <row r="88" spans="1:12" ht="15" customHeight="1" x14ac:dyDescent="0.25">
      <c r="A88" s="660" t="s">
        <v>141</v>
      </c>
      <c r="B88" s="616">
        <v>10.289682539682538</v>
      </c>
      <c r="C88" s="616">
        <f t="shared" si="26"/>
        <v>0.76451986116467463</v>
      </c>
    </row>
    <row r="89" spans="1:12" ht="15" customHeight="1" x14ac:dyDescent="0.25">
      <c r="A89" s="660" t="s">
        <v>142</v>
      </c>
      <c r="B89" s="616">
        <v>14.456349206349207</v>
      </c>
      <c r="C89" s="616">
        <f>D78/B89</f>
        <v>1.3281361515234691</v>
      </c>
    </row>
    <row r="90" spans="1:12" ht="15" customHeight="1" x14ac:dyDescent="0.25">
      <c r="A90" s="660" t="s">
        <v>143</v>
      </c>
      <c r="B90" s="616">
        <v>13.742063492063492</v>
      </c>
      <c r="C90" s="616">
        <f t="shared" si="26"/>
        <v>0.80652613341033785</v>
      </c>
    </row>
    <row r="91" spans="1:12" ht="15" customHeight="1" x14ac:dyDescent="0.25">
      <c r="A91" s="660" t="s">
        <v>144</v>
      </c>
      <c r="B91" s="616">
        <v>13.781746031746032</v>
      </c>
      <c r="C91" s="616">
        <f>F72/B91</f>
        <v>0.890066225165563</v>
      </c>
    </row>
    <row r="92" spans="1:12" ht="15" customHeight="1" x14ac:dyDescent="0.25">
      <c r="A92" s="689" t="s">
        <v>145</v>
      </c>
      <c r="B92" s="685">
        <v>12.928571428571427</v>
      </c>
      <c r="C92" s="685">
        <f t="shared" ref="C92:C104" si="27">F73/B92</f>
        <v>0.79797421731123419</v>
      </c>
    </row>
    <row r="93" spans="1:12" ht="15" customHeight="1" x14ac:dyDescent="0.25">
      <c r="A93" s="661" t="s">
        <v>69</v>
      </c>
      <c r="B93" s="616">
        <v>11.182539682539682</v>
      </c>
      <c r="C93" s="616">
        <f t="shared" si="27"/>
        <v>0.52760823278921209</v>
      </c>
    </row>
    <row r="94" spans="1:12" ht="15" customHeight="1" x14ac:dyDescent="0.25">
      <c r="A94" s="661" t="s">
        <v>70</v>
      </c>
      <c r="B94" s="616">
        <v>12.055555555555555</v>
      </c>
      <c r="C94" s="616">
        <f t="shared" si="27"/>
        <v>0.55714285714285727</v>
      </c>
    </row>
    <row r="95" spans="1:12" ht="15" customHeight="1" x14ac:dyDescent="0.25">
      <c r="A95" s="661" t="s">
        <v>71</v>
      </c>
      <c r="B95" s="616">
        <v>12.591269841269842</v>
      </c>
      <c r="C95" s="616">
        <f t="shared" si="27"/>
        <v>0.57579577686731775</v>
      </c>
    </row>
    <row r="96" spans="1:12" ht="15" customHeight="1" x14ac:dyDescent="0.25">
      <c r="A96" s="661" t="s">
        <v>72</v>
      </c>
      <c r="B96" s="616">
        <v>11.936507936507937</v>
      </c>
      <c r="C96" s="616">
        <f t="shared" si="27"/>
        <v>0.66323138297872331</v>
      </c>
    </row>
    <row r="97" spans="1:3" ht="15" customHeight="1" x14ac:dyDescent="0.25">
      <c r="A97" s="661" t="s">
        <v>73</v>
      </c>
      <c r="B97" s="616">
        <v>13.722222222222221</v>
      </c>
      <c r="C97" s="616">
        <f t="shared" si="27"/>
        <v>0.60485829959514192</v>
      </c>
    </row>
    <row r="98" spans="1:3" ht="15" customHeight="1" x14ac:dyDescent="0.25">
      <c r="A98" s="661" t="s">
        <v>74</v>
      </c>
      <c r="B98" s="616">
        <v>11.202380952380953</v>
      </c>
      <c r="C98" s="616">
        <f t="shared" si="27"/>
        <v>0.63676939426142409</v>
      </c>
    </row>
    <row r="99" spans="1:3" ht="15" customHeight="1" x14ac:dyDescent="0.25">
      <c r="A99" s="661" t="s">
        <v>75</v>
      </c>
      <c r="B99" s="616">
        <v>11.420634920634921</v>
      </c>
      <c r="C99" s="616">
        <f>H72/B99</f>
        <v>0.572063933287005</v>
      </c>
    </row>
    <row r="100" spans="1:3" ht="15" customHeight="1" x14ac:dyDescent="0.25">
      <c r="A100" s="661" t="s">
        <v>76</v>
      </c>
      <c r="B100" s="616">
        <v>12.392857142857144</v>
      </c>
    </row>
    <row r="101" spans="1:3" ht="15" customHeight="1" x14ac:dyDescent="0.25">
      <c r="A101" s="661" t="s">
        <v>77</v>
      </c>
      <c r="B101" s="616">
        <v>11.321428571428571</v>
      </c>
      <c r="C101" s="616">
        <f t="shared" ref="C100:C104" si="28">H74/B101</f>
        <v>0.54321766561514184</v>
      </c>
    </row>
    <row r="102" spans="1:3" ht="15" customHeight="1" x14ac:dyDescent="0.25">
      <c r="A102" s="690" t="s">
        <v>149</v>
      </c>
      <c r="B102" s="685">
        <v>15.904761904761903</v>
      </c>
      <c r="C102" s="685">
        <f t="shared" si="28"/>
        <v>0.79221556886227551</v>
      </c>
    </row>
    <row r="103" spans="1:3" ht="15" customHeight="1" x14ac:dyDescent="0.25">
      <c r="A103" s="662" t="s">
        <v>150</v>
      </c>
      <c r="B103" s="616">
        <v>14.257936507936508</v>
      </c>
    </row>
    <row r="104" spans="1:3" ht="15" customHeight="1" x14ac:dyDescent="0.25">
      <c r="A104" s="662" t="s">
        <v>152</v>
      </c>
      <c r="B104" s="616">
        <v>14.813492063492065</v>
      </c>
      <c r="C104" s="616">
        <f>N76/B104</f>
        <v>2.1346500532142105</v>
      </c>
    </row>
    <row r="105" spans="1:3" ht="15" customHeight="1" x14ac:dyDescent="0.25">
      <c r="A105" s="662" t="s">
        <v>78</v>
      </c>
      <c r="B105" s="616">
        <v>12.194444444444445</v>
      </c>
      <c r="C105" s="616">
        <f t="shared" ref="C105:C111" si="29">N77/B105</f>
        <v>4.3038539678630796</v>
      </c>
    </row>
    <row r="106" spans="1:3" ht="15" customHeight="1" x14ac:dyDescent="0.25">
      <c r="A106" s="662" t="s">
        <v>153</v>
      </c>
      <c r="B106" s="616">
        <v>11.738095238095239</v>
      </c>
    </row>
    <row r="107" spans="1:3" ht="15" customHeight="1" x14ac:dyDescent="0.25">
      <c r="A107" s="662" t="s">
        <v>79</v>
      </c>
      <c r="B107" s="616">
        <v>10.646825396825395</v>
      </c>
      <c r="C107" s="616">
        <f>P72/B107</f>
        <v>1.8340703730193115</v>
      </c>
    </row>
    <row r="108" spans="1:3" ht="15" customHeight="1" x14ac:dyDescent="0.25">
      <c r="A108" s="662" t="s">
        <v>80</v>
      </c>
      <c r="B108" s="616">
        <v>11.817460317460318</v>
      </c>
      <c r="C108" s="616">
        <f t="shared" ref="C108:C111" si="30">P73/B108</f>
        <v>4.193863104205616</v>
      </c>
    </row>
    <row r="109" spans="1:3" ht="15" customHeight="1" x14ac:dyDescent="0.25">
      <c r="A109" s="662" t="s">
        <v>81</v>
      </c>
      <c r="B109" s="616">
        <v>12.908730158730158</v>
      </c>
      <c r="C109" s="616">
        <f t="shared" si="30"/>
        <v>3.7699711700633931</v>
      </c>
    </row>
    <row r="110" spans="1:3" ht="15" customHeight="1" x14ac:dyDescent="0.25">
      <c r="A110" s="662" t="s">
        <v>156</v>
      </c>
      <c r="B110" s="616">
        <v>12.690476190476192</v>
      </c>
      <c r="C110" s="616">
        <f t="shared" si="30"/>
        <v>1.9087520916789209</v>
      </c>
    </row>
    <row r="111" spans="1:3" ht="15" customHeight="1" x14ac:dyDescent="0.25">
      <c r="A111" s="662" t="s">
        <v>87</v>
      </c>
      <c r="B111" s="616">
        <v>13.345238095238095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D4C9E-7689-4F93-BDFD-A1171DBD9829}">
  <dimension ref="A1:B24"/>
  <sheetViews>
    <sheetView workbookViewId="0">
      <selection activeCell="C2" sqref="C2"/>
    </sheetView>
  </sheetViews>
  <sheetFormatPr defaultRowHeight="14.4" x14ac:dyDescent="0.3"/>
  <cols>
    <col min="1" max="1" width="15.5546875" bestFit="1" customWidth="1"/>
  </cols>
  <sheetData>
    <row r="1" spans="1:2" x14ac:dyDescent="0.3">
      <c r="A1" s="194" t="s">
        <v>91</v>
      </c>
      <c r="B1" s="194" t="s">
        <v>82</v>
      </c>
    </row>
    <row r="2" spans="1:2" x14ac:dyDescent="0.3">
      <c r="A2" t="s">
        <v>88</v>
      </c>
      <c r="B2">
        <v>34.382491827097709</v>
      </c>
    </row>
    <row r="3" spans="1:2" x14ac:dyDescent="0.3">
      <c r="A3" t="s">
        <v>88</v>
      </c>
      <c r="B3">
        <v>44.516890664729381</v>
      </c>
    </row>
    <row r="4" spans="1:2" x14ac:dyDescent="0.3">
      <c r="A4" t="s">
        <v>88</v>
      </c>
      <c r="B4">
        <v>42.700690156193247</v>
      </c>
    </row>
    <row r="5" spans="1:2" x14ac:dyDescent="0.3">
      <c r="A5" t="s">
        <v>88</v>
      </c>
      <c r="B5">
        <v>44.553214674900104</v>
      </c>
    </row>
    <row r="6" spans="1:2" x14ac:dyDescent="0.3">
      <c r="A6" t="s">
        <v>88</v>
      </c>
      <c r="B6">
        <v>34.636759898292773</v>
      </c>
    </row>
    <row r="7" spans="1:2" x14ac:dyDescent="0.3">
      <c r="A7" t="s">
        <v>89</v>
      </c>
      <c r="B7" s="184">
        <v>52.108608790410457</v>
      </c>
    </row>
    <row r="8" spans="1:2" x14ac:dyDescent="0.3">
      <c r="A8" t="s">
        <v>89</v>
      </c>
      <c r="B8" s="184">
        <v>45.243370868143835</v>
      </c>
    </row>
    <row r="9" spans="1:2" x14ac:dyDescent="0.3">
      <c r="A9" t="s">
        <v>89</v>
      </c>
      <c r="B9" s="184">
        <v>42.918634217217573</v>
      </c>
    </row>
    <row r="10" spans="1:2" x14ac:dyDescent="0.3">
      <c r="A10" t="s">
        <v>89</v>
      </c>
      <c r="B10" s="184">
        <v>40.957137667998545</v>
      </c>
    </row>
    <row r="11" spans="1:2" x14ac:dyDescent="0.3">
      <c r="A11" t="s">
        <v>89</v>
      </c>
      <c r="B11" s="184">
        <v>45.061750817290225</v>
      </c>
    </row>
    <row r="12" spans="1:2" x14ac:dyDescent="0.3">
      <c r="A12" t="s">
        <v>89</v>
      </c>
      <c r="B12" s="184">
        <v>47.02324736650926</v>
      </c>
    </row>
    <row r="13" spans="1:2" x14ac:dyDescent="0.3">
      <c r="A13" t="s">
        <v>89</v>
      </c>
      <c r="B13" s="184">
        <v>48.803123864874685</v>
      </c>
    </row>
    <row r="14" spans="1:2" x14ac:dyDescent="0.3">
      <c r="A14" t="s">
        <v>89</v>
      </c>
      <c r="B14" s="184">
        <v>44.407918634217218</v>
      </c>
    </row>
    <row r="15" spans="1:2" x14ac:dyDescent="0.3">
      <c r="A15" t="s">
        <v>89</v>
      </c>
      <c r="B15" s="184">
        <v>46.224119142753359</v>
      </c>
    </row>
    <row r="16" spans="1:2" x14ac:dyDescent="0.3">
      <c r="A16" t="s">
        <v>90</v>
      </c>
      <c r="B16" s="184">
        <v>43.100254268071197</v>
      </c>
    </row>
    <row r="17" spans="1:2" x14ac:dyDescent="0.3">
      <c r="A17" t="s">
        <v>90</v>
      </c>
      <c r="B17" s="184">
        <v>41.828913912095892</v>
      </c>
    </row>
    <row r="18" spans="1:2" x14ac:dyDescent="0.3">
      <c r="A18" t="s">
        <v>90</v>
      </c>
      <c r="B18" s="184">
        <v>43.100254268071197</v>
      </c>
    </row>
    <row r="19" spans="1:2" x14ac:dyDescent="0.3">
      <c r="A19" t="s">
        <v>90</v>
      </c>
      <c r="B19" s="184">
        <v>45.170722847802402</v>
      </c>
    </row>
    <row r="20" spans="1:2" x14ac:dyDescent="0.3">
      <c r="A20" t="s">
        <v>90</v>
      </c>
      <c r="B20" s="184">
        <v>46.224119142753359</v>
      </c>
    </row>
    <row r="21" spans="1:2" x14ac:dyDescent="0.3">
      <c r="A21" t="s">
        <v>90</v>
      </c>
      <c r="B21" s="184">
        <v>50.219760261532869</v>
      </c>
    </row>
    <row r="22" spans="1:2" x14ac:dyDescent="0.3">
      <c r="A22" t="s">
        <v>90</v>
      </c>
      <c r="B22" s="184">
        <v>38.52342898656012</v>
      </c>
    </row>
    <row r="23" spans="1:2" x14ac:dyDescent="0.3">
      <c r="A23" t="s">
        <v>90</v>
      </c>
      <c r="B23" s="184">
        <v>46.768979295314203</v>
      </c>
    </row>
    <row r="24" spans="1:2" x14ac:dyDescent="0.3">
      <c r="A24" t="s">
        <v>90</v>
      </c>
      <c r="B24" s="184">
        <v>41.247729749364325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553BF-E6F3-416D-A74E-01CC7736C8BA}">
  <dimension ref="A1:B23"/>
  <sheetViews>
    <sheetView workbookViewId="0">
      <selection activeCell="N22" sqref="N22"/>
    </sheetView>
  </sheetViews>
  <sheetFormatPr defaultRowHeight="14.4" x14ac:dyDescent="0.3"/>
  <cols>
    <col min="1" max="1" width="14.77734375" bestFit="1" customWidth="1"/>
  </cols>
  <sheetData>
    <row r="1" spans="1:2" x14ac:dyDescent="0.3">
      <c r="A1" s="691" t="s">
        <v>91</v>
      </c>
      <c r="B1" s="691" t="s">
        <v>109</v>
      </c>
    </row>
    <row r="2" spans="1:2" x14ac:dyDescent="0.3">
      <c r="A2" t="s">
        <v>88</v>
      </c>
      <c r="B2">
        <v>2.1346500532142105</v>
      </c>
    </row>
    <row r="3" spans="1:2" x14ac:dyDescent="0.3">
      <c r="A3" t="s">
        <v>88</v>
      </c>
      <c r="B3">
        <v>4.3038539678630796</v>
      </c>
    </row>
    <row r="4" spans="1:2" x14ac:dyDescent="0.3">
      <c r="A4" t="s">
        <v>88</v>
      </c>
      <c r="B4">
        <v>1.8340703730193115</v>
      </c>
    </row>
    <row r="5" spans="1:2" x14ac:dyDescent="0.3">
      <c r="A5" t="s">
        <v>88</v>
      </c>
      <c r="B5">
        <v>4.193863104205616</v>
      </c>
    </row>
    <row r="6" spans="1:2" x14ac:dyDescent="0.3">
      <c r="A6" t="s">
        <v>88</v>
      </c>
      <c r="B6">
        <v>3.7699711700633931</v>
      </c>
    </row>
    <row r="7" spans="1:2" x14ac:dyDescent="0.3">
      <c r="A7" t="s">
        <v>88</v>
      </c>
      <c r="B7">
        <v>1.9087520916789209</v>
      </c>
    </row>
    <row r="8" spans="1:2" x14ac:dyDescent="0.3">
      <c r="A8" t="s">
        <v>89</v>
      </c>
      <c r="B8">
        <v>1.1886386898669399</v>
      </c>
    </row>
    <row r="9" spans="1:2" x14ac:dyDescent="0.3">
      <c r="A9" t="s">
        <v>89</v>
      </c>
      <c r="B9">
        <v>0.72666309012875541</v>
      </c>
    </row>
    <row r="10" spans="1:2" x14ac:dyDescent="0.3">
      <c r="A10" t="s">
        <v>89</v>
      </c>
      <c r="B10">
        <v>0.76451986116467463</v>
      </c>
    </row>
    <row r="11" spans="1:2" x14ac:dyDescent="0.3">
      <c r="A11" t="s">
        <v>89</v>
      </c>
      <c r="B11">
        <v>1.3281361515234691</v>
      </c>
    </row>
    <row r="12" spans="1:2" x14ac:dyDescent="0.3">
      <c r="A12" t="s">
        <v>89</v>
      </c>
      <c r="B12">
        <v>0.80652613341033785</v>
      </c>
    </row>
    <row r="13" spans="1:2" x14ac:dyDescent="0.3">
      <c r="A13" t="s">
        <v>89</v>
      </c>
      <c r="B13">
        <v>0.890066225165563</v>
      </c>
    </row>
    <row r="14" spans="1:2" x14ac:dyDescent="0.3">
      <c r="A14" t="s">
        <v>89</v>
      </c>
      <c r="B14">
        <v>0.79797421731123419</v>
      </c>
    </row>
    <row r="15" spans="1:2" x14ac:dyDescent="0.3">
      <c r="A15" t="s">
        <v>90</v>
      </c>
      <c r="B15">
        <v>0.52760823278921209</v>
      </c>
    </row>
    <row r="16" spans="1:2" x14ac:dyDescent="0.3">
      <c r="A16" t="s">
        <v>90</v>
      </c>
      <c r="B16">
        <v>0.55714285714285727</v>
      </c>
    </row>
    <row r="17" spans="1:2" x14ac:dyDescent="0.3">
      <c r="A17" t="s">
        <v>90</v>
      </c>
      <c r="B17">
        <v>0.57579577686731775</v>
      </c>
    </row>
    <row r="18" spans="1:2" x14ac:dyDescent="0.3">
      <c r="A18" t="s">
        <v>90</v>
      </c>
      <c r="B18">
        <v>0.66323138297872331</v>
      </c>
    </row>
    <row r="19" spans="1:2" x14ac:dyDescent="0.3">
      <c r="A19" t="s">
        <v>90</v>
      </c>
      <c r="B19">
        <v>0.60485829959514192</v>
      </c>
    </row>
    <row r="20" spans="1:2" x14ac:dyDescent="0.3">
      <c r="A20" t="s">
        <v>90</v>
      </c>
      <c r="B20">
        <v>0.63676939426142409</v>
      </c>
    </row>
    <row r="21" spans="1:2" x14ac:dyDescent="0.3">
      <c r="A21" t="s">
        <v>90</v>
      </c>
      <c r="B21">
        <v>0.572063933287005</v>
      </c>
    </row>
    <row r="22" spans="1:2" x14ac:dyDescent="0.3">
      <c r="A22" t="s">
        <v>90</v>
      </c>
      <c r="B22">
        <v>0.54321766561514184</v>
      </c>
    </row>
    <row r="23" spans="1:2" x14ac:dyDescent="0.3">
      <c r="A23" t="s">
        <v>90</v>
      </c>
      <c r="B23">
        <v>0.79221556886227551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577C3-0471-46D8-B691-AF4F8F2CD75D}">
  <sheetPr>
    <tabColor theme="5"/>
  </sheetPr>
  <dimension ref="A1:AB49"/>
  <sheetViews>
    <sheetView zoomScale="70" zoomScaleNormal="70" workbookViewId="0">
      <selection activeCell="J5" sqref="J5:J27"/>
    </sheetView>
  </sheetViews>
  <sheetFormatPr defaultColWidth="8.77734375" defaultRowHeight="14.4" x14ac:dyDescent="0.3"/>
  <cols>
    <col min="1" max="1" width="16.33203125" bestFit="1" customWidth="1"/>
    <col min="3" max="5" width="8.77734375" style="77"/>
    <col min="6" max="6" width="10.109375" style="101" customWidth="1"/>
    <col min="7" max="7" width="16.44140625" style="77" customWidth="1"/>
    <col min="8" max="8" width="20.44140625" style="77" customWidth="1"/>
    <col min="9" max="9" width="13.33203125" style="77" bestFit="1" customWidth="1"/>
    <col min="10" max="10" width="20" style="77" bestFit="1" customWidth="1"/>
    <col min="11" max="11" width="27.5546875" style="77" bestFit="1" customWidth="1"/>
    <col min="12" max="12" width="13.33203125" style="77" bestFit="1" customWidth="1"/>
    <col min="13" max="13" width="15.77734375" bestFit="1" customWidth="1"/>
    <col min="14" max="14" width="16.44140625" bestFit="1" customWidth="1"/>
    <col min="15" max="15" width="13.33203125" bestFit="1" customWidth="1"/>
    <col min="17" max="17" width="16.44140625" customWidth="1"/>
    <col min="18" max="18" width="30.21875" bestFit="1" customWidth="1"/>
    <col min="19" max="19" width="15.44140625" bestFit="1" customWidth="1"/>
    <col min="20" max="20" width="10.88671875" bestFit="1" customWidth="1"/>
    <col min="25" max="25" width="16" bestFit="1" customWidth="1"/>
  </cols>
  <sheetData>
    <row r="1" spans="1:24" x14ac:dyDescent="0.3">
      <c r="H1"/>
    </row>
    <row r="2" spans="1:24" x14ac:dyDescent="0.3">
      <c r="H2"/>
    </row>
    <row r="3" spans="1:24" ht="26.4" thickBot="1" x14ac:dyDescent="0.55000000000000004">
      <c r="J3" s="266"/>
      <c r="K3" s="319" t="s">
        <v>115</v>
      </c>
      <c r="M3" s="258"/>
      <c r="N3" s="259"/>
      <c r="O3" s="259"/>
    </row>
    <row r="4" spans="1:24" ht="15" thickBot="1" x14ac:dyDescent="0.35">
      <c r="A4" s="138" t="s">
        <v>0</v>
      </c>
      <c r="B4" s="154" t="s">
        <v>1</v>
      </c>
      <c r="C4" s="58" t="s">
        <v>3</v>
      </c>
      <c r="D4" s="58" t="s">
        <v>4</v>
      </c>
      <c r="E4" s="58" t="s">
        <v>119</v>
      </c>
      <c r="F4" s="85" t="s">
        <v>6</v>
      </c>
      <c r="G4" s="123" t="s">
        <v>23</v>
      </c>
      <c r="H4" s="56" t="s">
        <v>39</v>
      </c>
      <c r="I4" s="57" t="s">
        <v>25</v>
      </c>
      <c r="J4" s="57" t="s">
        <v>45</v>
      </c>
      <c r="K4" s="57" t="s">
        <v>117</v>
      </c>
      <c r="L4" s="56" t="s">
        <v>122</v>
      </c>
      <c r="M4" s="260"/>
      <c r="N4" s="260"/>
      <c r="O4" s="260"/>
      <c r="Q4" s="16" t="s">
        <v>34</v>
      </c>
      <c r="R4" s="2"/>
      <c r="S4" s="2"/>
      <c r="T4" s="2"/>
      <c r="U4" s="6"/>
      <c r="V4" s="6"/>
      <c r="W4" s="6"/>
      <c r="X4" s="7"/>
    </row>
    <row r="5" spans="1:24" ht="15" thickBot="1" x14ac:dyDescent="0.35">
      <c r="A5" s="311" t="s">
        <v>89</v>
      </c>
      <c r="B5" s="155">
        <v>1</v>
      </c>
      <c r="C5" s="186">
        <v>0.19960800000000001</v>
      </c>
      <c r="D5" s="187">
        <v>0.14109046153846153</v>
      </c>
      <c r="E5" s="145">
        <f t="shared" ref="E5:E27" si="0">AVERAGE(C5:D5)</f>
        <v>0.17034923076923075</v>
      </c>
      <c r="F5" s="151">
        <f>E5-$S$14</f>
        <v>0.1677276923076923</v>
      </c>
      <c r="G5" s="191">
        <f>(F5/($S$15*$S$8))*($S$7/$S$6)</f>
        <v>1.0342070064600585E-4</v>
      </c>
      <c r="H5" s="373">
        <f>G5*10^6</f>
        <v>103.42070064600586</v>
      </c>
      <c r="I5" s="145">
        <f>H5*$S$11</f>
        <v>1034.2070064600584</v>
      </c>
      <c r="J5" s="264">
        <f>I5/($S$12/$S$13)</f>
        <v>5171.0350323002922</v>
      </c>
      <c r="K5" s="242">
        <f>AVERAGE(J5:J13)</f>
        <v>4582.1558667008157</v>
      </c>
      <c r="L5" s="245">
        <f>STDEV(J5:J13)</f>
        <v>543.17274500681924</v>
      </c>
      <c r="M5" s="261"/>
      <c r="N5" s="262"/>
      <c r="O5" s="263"/>
      <c r="Q5" s="228" t="s">
        <v>38</v>
      </c>
      <c r="R5" s="229"/>
      <c r="S5" s="229"/>
      <c r="T5" s="229"/>
      <c r="U5" s="229"/>
      <c r="V5" s="230"/>
      <c r="W5" s="6"/>
    </row>
    <row r="6" spans="1:24" x14ac:dyDescent="0.3">
      <c r="A6" s="312"/>
      <c r="B6" s="156">
        <v>2</v>
      </c>
      <c r="C6" s="188">
        <v>0.18203999999999992</v>
      </c>
      <c r="D6" s="273">
        <v>0.17141353846153848</v>
      </c>
      <c r="E6" s="271">
        <f t="shared" si="0"/>
        <v>0.17672676923076919</v>
      </c>
      <c r="F6" s="302">
        <f t="shared" ref="F6:F27" si="1">E6-$S$14</f>
        <v>0.17410523076923073</v>
      </c>
      <c r="G6" s="303">
        <f t="shared" ref="G6:G27" si="2">(F6/($S$15*$S$8))*($S$7/$S$6)</f>
        <v>1.0735308346851074E-4</v>
      </c>
      <c r="H6" s="374">
        <f t="shared" ref="H6:H27" si="3">G6*10^6</f>
        <v>107.35308346851073</v>
      </c>
      <c r="I6" s="271">
        <f t="shared" ref="I6:I27" si="4">H6*$S$11</f>
        <v>1073.5308346851073</v>
      </c>
      <c r="J6" s="304">
        <f t="shared" ref="J6:J27" si="5">I6/($S$12/$S$13)</f>
        <v>5367.6541734255361</v>
      </c>
      <c r="K6" s="254"/>
      <c r="L6" s="246"/>
      <c r="M6" s="261"/>
      <c r="N6" s="263"/>
      <c r="O6" s="263"/>
      <c r="Q6" s="64"/>
      <c r="R6" s="75" t="s">
        <v>35</v>
      </c>
      <c r="S6" s="65">
        <v>35.700000000000003</v>
      </c>
      <c r="T6" s="65" t="s">
        <v>32</v>
      </c>
      <c r="U6" s="65"/>
      <c r="V6" s="66"/>
      <c r="W6" s="6"/>
    </row>
    <row r="7" spans="1:24" x14ac:dyDescent="0.3">
      <c r="A7" s="312"/>
      <c r="B7" s="156">
        <v>3</v>
      </c>
      <c r="C7" s="188">
        <v>0.13933661538461534</v>
      </c>
      <c r="D7" s="273"/>
      <c r="E7" s="271">
        <f t="shared" si="0"/>
        <v>0.13933661538461534</v>
      </c>
      <c r="F7" s="302">
        <f t="shared" si="1"/>
        <v>0.13671507692307688</v>
      </c>
      <c r="G7" s="303">
        <f t="shared" si="2"/>
        <v>8.429835794985625E-5</v>
      </c>
      <c r="H7" s="374">
        <f t="shared" si="3"/>
        <v>84.298357949856253</v>
      </c>
      <c r="I7" s="271">
        <f t="shared" si="4"/>
        <v>842.98357949856256</v>
      </c>
      <c r="J7" s="304">
        <f t="shared" si="5"/>
        <v>4214.9178974928127</v>
      </c>
      <c r="K7" s="254"/>
      <c r="L7" s="246"/>
      <c r="M7" s="261"/>
      <c r="N7" s="263"/>
      <c r="O7" s="263"/>
      <c r="Q7" s="67"/>
      <c r="R7" s="73" t="s">
        <v>36</v>
      </c>
      <c r="S7" s="68">
        <v>249.8</v>
      </c>
      <c r="T7" s="68" t="s">
        <v>32</v>
      </c>
      <c r="U7" s="68"/>
      <c r="V7" s="69"/>
      <c r="W7" s="6"/>
    </row>
    <row r="8" spans="1:24" ht="15" thickBot="1" x14ac:dyDescent="0.35">
      <c r="A8" s="312"/>
      <c r="B8" s="156">
        <v>4</v>
      </c>
      <c r="C8" s="188">
        <v>0.15951323076923082</v>
      </c>
      <c r="D8" s="273">
        <v>0.10728738461538463</v>
      </c>
      <c r="E8" s="271">
        <f t="shared" si="0"/>
        <v>0.13340030769230773</v>
      </c>
      <c r="F8" s="302">
        <f t="shared" si="1"/>
        <v>0.13077876923076928</v>
      </c>
      <c r="G8" s="303">
        <f t="shared" si="2"/>
        <v>8.0638037508181819E-5</v>
      </c>
      <c r="H8" s="374">
        <f t="shared" si="3"/>
        <v>80.638037508181824</v>
      </c>
      <c r="I8" s="271">
        <f t="shared" si="4"/>
        <v>806.38037508181822</v>
      </c>
      <c r="J8" s="304">
        <f t="shared" si="5"/>
        <v>4031.9018754090907</v>
      </c>
      <c r="K8" s="254"/>
      <c r="L8" s="246"/>
      <c r="M8" s="261"/>
      <c r="N8" s="263"/>
      <c r="O8" s="263"/>
      <c r="Q8" s="70"/>
      <c r="R8" s="74" t="s">
        <v>37</v>
      </c>
      <c r="S8" s="79">
        <f>S7/350</f>
        <v>0.71371428571428575</v>
      </c>
      <c r="T8" s="71" t="s">
        <v>33</v>
      </c>
      <c r="U8" s="71"/>
      <c r="V8" s="72"/>
      <c r="W8" s="6"/>
    </row>
    <row r="9" spans="1:24" x14ac:dyDescent="0.3">
      <c r="A9" s="312"/>
      <c r="B9" s="156">
        <v>5</v>
      </c>
      <c r="C9" s="188">
        <v>0.14156307692307687</v>
      </c>
      <c r="D9" s="273">
        <v>0.15116861538461535</v>
      </c>
      <c r="E9" s="271">
        <f t="shared" si="0"/>
        <v>0.14636584615384612</v>
      </c>
      <c r="F9" s="302">
        <f t="shared" si="1"/>
        <v>0.14374430769230767</v>
      </c>
      <c r="G9" s="303">
        <f t="shared" si="2"/>
        <v>8.8632573493838736E-5</v>
      </c>
      <c r="H9" s="374">
        <f t="shared" si="3"/>
        <v>88.632573493838734</v>
      </c>
      <c r="I9" s="271">
        <f t="shared" si="4"/>
        <v>886.32573493838731</v>
      </c>
      <c r="J9" s="304">
        <f t="shared" si="5"/>
        <v>4431.6286746919359</v>
      </c>
      <c r="K9" s="254"/>
      <c r="L9" s="246"/>
      <c r="M9" s="261"/>
      <c r="N9" s="263"/>
      <c r="O9" s="263"/>
      <c r="W9" s="20"/>
      <c r="X9" s="6"/>
    </row>
    <row r="10" spans="1:24" ht="15" thickBot="1" x14ac:dyDescent="0.35">
      <c r="A10" s="312"/>
      <c r="B10" s="156">
        <v>6</v>
      </c>
      <c r="C10" s="188">
        <v>0.17877599999999999</v>
      </c>
      <c r="D10" s="273">
        <v>0.15753784615384617</v>
      </c>
      <c r="E10" s="271">
        <f t="shared" si="0"/>
        <v>0.16815692307692309</v>
      </c>
      <c r="F10" s="302">
        <f t="shared" si="1"/>
        <v>0.16553538461538464</v>
      </c>
      <c r="G10" s="303">
        <f t="shared" si="2"/>
        <v>1.0206892626426478E-4</v>
      </c>
      <c r="H10" s="374">
        <f t="shared" si="3"/>
        <v>102.06892626426477</v>
      </c>
      <c r="I10" s="271">
        <f t="shared" si="4"/>
        <v>1020.6892626426477</v>
      </c>
      <c r="J10" s="304">
        <f t="shared" si="5"/>
        <v>5103.4463132132378</v>
      </c>
      <c r="K10" s="254"/>
      <c r="L10" s="246"/>
      <c r="M10" s="261"/>
      <c r="N10" s="263"/>
      <c r="O10" s="263"/>
      <c r="Q10" s="31" t="s">
        <v>116</v>
      </c>
      <c r="U10" s="10"/>
      <c r="V10" s="6"/>
      <c r="W10" s="6"/>
      <c r="X10" s="6"/>
    </row>
    <row r="11" spans="1:24" x14ac:dyDescent="0.3">
      <c r="A11" s="312"/>
      <c r="B11" s="156">
        <v>7</v>
      </c>
      <c r="C11" s="188">
        <v>0.12996369230769231</v>
      </c>
      <c r="D11" s="273">
        <v>0.13816061538461535</v>
      </c>
      <c r="E11" s="271">
        <f t="shared" si="0"/>
        <v>0.13406215384615383</v>
      </c>
      <c r="F11" s="302">
        <f t="shared" si="1"/>
        <v>0.13144061538461538</v>
      </c>
      <c r="G11" s="303">
        <f t="shared" si="2"/>
        <v>8.1046131079427406E-5</v>
      </c>
      <c r="H11" s="374">
        <f t="shared" si="3"/>
        <v>81.046131079427411</v>
      </c>
      <c r="I11" s="271">
        <f t="shared" si="4"/>
        <v>810.46131079427414</v>
      </c>
      <c r="J11" s="304">
        <f t="shared" si="5"/>
        <v>4052.3065539713707</v>
      </c>
      <c r="K11" s="254"/>
      <c r="L11" s="246"/>
      <c r="M11" s="261"/>
      <c r="N11" s="263"/>
      <c r="O11" s="263"/>
      <c r="Q11" s="8"/>
      <c r="R11" s="22" t="s">
        <v>9</v>
      </c>
      <c r="S11" s="33">
        <v>10</v>
      </c>
      <c r="T11" s="9" t="s">
        <v>10</v>
      </c>
      <c r="U11" s="10"/>
      <c r="V11" s="6"/>
      <c r="W11" s="6"/>
      <c r="X11" s="6"/>
    </row>
    <row r="12" spans="1:24" ht="14.55" customHeight="1" x14ac:dyDescent="0.3">
      <c r="A12" s="312"/>
      <c r="B12" s="156">
        <v>8</v>
      </c>
      <c r="C12" s="188">
        <v>9.1100307692307661E-2</v>
      </c>
      <c r="D12" s="273"/>
      <c r="E12" s="271">
        <f t="shared" si="0"/>
        <v>9.1100307692307661E-2</v>
      </c>
      <c r="F12" s="302">
        <f t="shared" si="1"/>
        <v>8.8478769230769194E-2</v>
      </c>
      <c r="G12" s="303">
        <f t="shared" si="2"/>
        <v>5.4555906542587981E-5</v>
      </c>
      <c r="H12" s="374">
        <f t="shared" si="3"/>
        <v>54.555906542587984</v>
      </c>
      <c r="I12" s="271">
        <f t="shared" si="4"/>
        <v>545.55906542587979</v>
      </c>
      <c r="J12" s="304"/>
      <c r="K12" s="254"/>
      <c r="L12" s="246"/>
      <c r="M12" s="261"/>
      <c r="N12" s="263"/>
      <c r="O12" s="263"/>
      <c r="Q12" s="11"/>
      <c r="R12" s="28" t="s">
        <v>11</v>
      </c>
      <c r="S12" s="34">
        <v>0.2</v>
      </c>
      <c r="T12" s="12" t="s">
        <v>12</v>
      </c>
      <c r="U12" s="10"/>
      <c r="V12" s="6"/>
      <c r="W12" s="6"/>
      <c r="X12" s="6"/>
    </row>
    <row r="13" spans="1:24" ht="15" thickBot="1" x14ac:dyDescent="0.35">
      <c r="A13" s="313"/>
      <c r="B13" s="157">
        <v>9</v>
      </c>
      <c r="C13" s="189"/>
      <c r="D13" s="190">
        <v>0.14158892307692308</v>
      </c>
      <c r="E13" s="119">
        <f t="shared" si="0"/>
        <v>0.14158892307692308</v>
      </c>
      <c r="F13" s="152">
        <f t="shared" si="1"/>
        <v>0.13896738461538463</v>
      </c>
      <c r="G13" s="192">
        <f t="shared" si="2"/>
        <v>8.5687128262045023E-5</v>
      </c>
      <c r="H13" s="375">
        <f t="shared" si="3"/>
        <v>85.687128262045022</v>
      </c>
      <c r="I13" s="119">
        <f t="shared" si="4"/>
        <v>856.87128262045019</v>
      </c>
      <c r="J13" s="265">
        <f t="shared" si="5"/>
        <v>4284.3564131022504</v>
      </c>
      <c r="K13" s="249"/>
      <c r="L13" s="247"/>
      <c r="M13" s="261"/>
      <c r="N13" s="263"/>
      <c r="O13" s="263"/>
      <c r="Q13" s="11"/>
      <c r="R13" s="28" t="s">
        <v>13</v>
      </c>
      <c r="S13" s="35">
        <v>1</v>
      </c>
      <c r="T13" s="12" t="s">
        <v>14</v>
      </c>
      <c r="U13" s="15"/>
      <c r="V13" s="21"/>
      <c r="W13" s="6"/>
      <c r="X13" s="6"/>
    </row>
    <row r="14" spans="1:24" x14ac:dyDescent="0.3">
      <c r="A14" s="308" t="s">
        <v>90</v>
      </c>
      <c r="B14" s="155">
        <v>10</v>
      </c>
      <c r="C14" s="186">
        <v>5.7348923076923089E-2</v>
      </c>
      <c r="D14" s="187"/>
      <c r="E14" s="145">
        <f t="shared" si="0"/>
        <v>5.7348923076923089E-2</v>
      </c>
      <c r="F14" s="151">
        <f t="shared" si="1"/>
        <v>5.4727384615384629E-2</v>
      </c>
      <c r="G14" s="191">
        <f t="shared" si="2"/>
        <v>3.3744841913543358E-5</v>
      </c>
      <c r="H14" s="373">
        <f t="shared" si="3"/>
        <v>33.744841913543361</v>
      </c>
      <c r="I14" s="145">
        <f t="shared" si="4"/>
        <v>337.4484191354336</v>
      </c>
      <c r="J14" s="304"/>
      <c r="K14" s="242">
        <f t="shared" ref="K14" si="6">AVERAGE(J14:J22)</f>
        <v>3633.0369593410655</v>
      </c>
      <c r="L14" s="245">
        <f t="shared" ref="L14" si="7">STDEV(J14:J22)</f>
        <v>561.1432711023981</v>
      </c>
      <c r="M14" s="261"/>
      <c r="N14" s="262"/>
      <c r="O14" s="263"/>
      <c r="Q14" s="11"/>
      <c r="R14" s="28" t="s">
        <v>15</v>
      </c>
      <c r="S14" s="80">
        <v>2.6215384615384612E-3</v>
      </c>
      <c r="T14" s="12" t="s">
        <v>24</v>
      </c>
      <c r="U14" s="6"/>
      <c r="V14" s="6"/>
      <c r="W14" s="6"/>
      <c r="X14" s="6"/>
    </row>
    <row r="15" spans="1:24" ht="16.8" thickBot="1" x14ac:dyDescent="0.35">
      <c r="A15" s="309"/>
      <c r="B15" s="156">
        <v>11</v>
      </c>
      <c r="C15" s="188">
        <v>0.10173969230769229</v>
      </c>
      <c r="D15" s="273"/>
      <c r="E15" s="271">
        <f t="shared" si="0"/>
        <v>0.10173969230769229</v>
      </c>
      <c r="F15" s="302">
        <f t="shared" si="1"/>
        <v>9.9118153846153828E-2</v>
      </c>
      <c r="G15" s="303">
        <f t="shared" si="2"/>
        <v>6.1116138763197577E-5</v>
      </c>
      <c r="H15" s="374">
        <f t="shared" si="3"/>
        <v>61.116138763197576</v>
      </c>
      <c r="I15" s="271">
        <f t="shared" si="4"/>
        <v>611.1613876319758</v>
      </c>
      <c r="J15" s="304">
        <f t="shared" si="5"/>
        <v>3055.8069381598789</v>
      </c>
      <c r="K15" s="254"/>
      <c r="L15" s="246"/>
      <c r="M15" s="261"/>
      <c r="N15" s="263"/>
      <c r="O15" s="263"/>
      <c r="Q15" s="13"/>
      <c r="R15" s="14" t="s">
        <v>21</v>
      </c>
      <c r="S15" s="29">
        <v>15900</v>
      </c>
      <c r="T15" s="30" t="s">
        <v>22</v>
      </c>
      <c r="U15" s="6"/>
      <c r="V15" s="6"/>
      <c r="W15" s="6"/>
      <c r="X15" s="6"/>
    </row>
    <row r="16" spans="1:24" x14ac:dyDescent="0.3">
      <c r="A16" s="309"/>
      <c r="B16" s="156">
        <v>12</v>
      </c>
      <c r="C16" s="188">
        <v>0.10948061538461538</v>
      </c>
      <c r="D16" s="273">
        <v>0.17201538461538457</v>
      </c>
      <c r="E16" s="271">
        <f t="shared" si="0"/>
        <v>0.14074799999999998</v>
      </c>
      <c r="F16" s="302">
        <f t="shared" si="1"/>
        <v>0.13812646153846153</v>
      </c>
      <c r="G16" s="303">
        <f t="shared" si="2"/>
        <v>8.5168616067617177E-5</v>
      </c>
      <c r="H16" s="374">
        <f t="shared" si="3"/>
        <v>85.16861606761718</v>
      </c>
      <c r="I16" s="271">
        <f t="shared" si="4"/>
        <v>851.68616067617177</v>
      </c>
      <c r="J16" s="304">
        <f t="shared" si="5"/>
        <v>4258.4308033808584</v>
      </c>
      <c r="K16" s="254"/>
      <c r="L16" s="246"/>
      <c r="M16" s="261"/>
      <c r="N16" s="263"/>
      <c r="O16" s="263"/>
      <c r="U16" s="6"/>
      <c r="V16" s="6"/>
      <c r="W16" s="6"/>
      <c r="X16" s="6"/>
    </row>
    <row r="17" spans="1:28" ht="15" thickBot="1" x14ac:dyDescent="0.35">
      <c r="A17" s="309"/>
      <c r="B17" s="156">
        <v>13</v>
      </c>
      <c r="C17" s="188">
        <v>0.13260000000000002</v>
      </c>
      <c r="D17" s="273">
        <v>9.5206153846153857E-2</v>
      </c>
      <c r="E17" s="271">
        <f t="shared" si="0"/>
        <v>0.11390307692307694</v>
      </c>
      <c r="F17" s="302">
        <f t="shared" si="1"/>
        <v>0.11128153846153847</v>
      </c>
      <c r="G17" s="303">
        <f t="shared" si="2"/>
        <v>6.8616067617177491E-5</v>
      </c>
      <c r="H17" s="374">
        <f t="shared" si="3"/>
        <v>68.616067617177492</v>
      </c>
      <c r="I17" s="271">
        <f t="shared" si="4"/>
        <v>686.16067617177487</v>
      </c>
      <c r="J17" s="304">
        <f t="shared" si="5"/>
        <v>3430.8033808588743</v>
      </c>
      <c r="K17" s="254"/>
      <c r="L17" s="246"/>
      <c r="M17" s="261"/>
      <c r="N17" s="263"/>
      <c r="O17" s="263"/>
      <c r="Q17" s="16" t="s">
        <v>16</v>
      </c>
      <c r="R17" s="2"/>
      <c r="S17" s="2"/>
      <c r="U17" s="6"/>
      <c r="V17" s="6"/>
      <c r="W17" s="6"/>
      <c r="X17" s="6"/>
    </row>
    <row r="18" spans="1:28" ht="15" thickBot="1" x14ac:dyDescent="0.35">
      <c r="A18" s="309"/>
      <c r="B18" s="156">
        <v>14</v>
      </c>
      <c r="C18" s="188"/>
      <c r="D18" s="273">
        <v>0.14248061538461537</v>
      </c>
      <c r="E18" s="271">
        <f t="shared" si="0"/>
        <v>0.14248061538461537</v>
      </c>
      <c r="F18" s="302">
        <f t="shared" si="1"/>
        <v>0.13985907692307692</v>
      </c>
      <c r="G18" s="303">
        <f t="shared" si="2"/>
        <v>8.6236944705313183E-5</v>
      </c>
      <c r="H18" s="374">
        <f t="shared" si="3"/>
        <v>86.236944705313178</v>
      </c>
      <c r="I18" s="271">
        <f t="shared" si="4"/>
        <v>862.36944705313181</v>
      </c>
      <c r="J18" s="304">
        <f t="shared" si="5"/>
        <v>4311.847235265659</v>
      </c>
      <c r="K18" s="254"/>
      <c r="L18" s="246"/>
      <c r="M18" s="261"/>
      <c r="N18" s="263"/>
      <c r="O18" s="263"/>
      <c r="Q18" s="37" t="s">
        <v>17</v>
      </c>
      <c r="R18" s="162" t="s">
        <v>118</v>
      </c>
      <c r="S18" s="163" t="s">
        <v>19</v>
      </c>
      <c r="T18" s="224"/>
      <c r="U18" s="225"/>
      <c r="V18" s="6"/>
      <c r="W18" s="6"/>
      <c r="X18" s="6"/>
    </row>
    <row r="19" spans="1:28" ht="15" thickBot="1" x14ac:dyDescent="0.35">
      <c r="A19" s="309"/>
      <c r="B19" s="156">
        <v>15</v>
      </c>
      <c r="C19" s="188">
        <v>0.10007261538461538</v>
      </c>
      <c r="D19" s="273">
        <v>9.3426461538461528E-2</v>
      </c>
      <c r="E19" s="271">
        <f t="shared" si="0"/>
        <v>9.6749538461538456E-2</v>
      </c>
      <c r="F19" s="302">
        <f t="shared" si="1"/>
        <v>9.4127999999999989E-2</v>
      </c>
      <c r="G19" s="303">
        <f t="shared" si="2"/>
        <v>5.8039215686274496E-5</v>
      </c>
      <c r="H19" s="374">
        <f t="shared" si="3"/>
        <v>58.039215686274495</v>
      </c>
      <c r="I19" s="271">
        <f t="shared" si="4"/>
        <v>580.39215686274497</v>
      </c>
      <c r="J19" s="304"/>
      <c r="K19" s="254"/>
      <c r="L19" s="246"/>
      <c r="M19" s="261"/>
      <c r="N19" s="263"/>
      <c r="O19" s="263"/>
      <c r="Q19" s="314" t="s">
        <v>88</v>
      </c>
      <c r="R19" s="164">
        <f>K23</f>
        <v>2409.0042403027969</v>
      </c>
      <c r="S19" s="19">
        <f>L23</f>
        <v>878.03867001100787</v>
      </c>
      <c r="T19" s="225"/>
      <c r="U19" s="225"/>
      <c r="V19" s="6"/>
      <c r="W19" s="6"/>
      <c r="X19" s="6"/>
    </row>
    <row r="20" spans="1:28" x14ac:dyDescent="0.3">
      <c r="A20" s="309"/>
      <c r="B20" s="156">
        <v>16</v>
      </c>
      <c r="C20" s="188">
        <v>0.10522338461538462</v>
      </c>
      <c r="D20" s="273">
        <v>0.15717046153846151</v>
      </c>
      <c r="E20" s="271">
        <f t="shared" si="0"/>
        <v>0.13119692307692307</v>
      </c>
      <c r="F20" s="302">
        <f t="shared" si="1"/>
        <v>0.12857538461538462</v>
      </c>
      <c r="G20" s="303">
        <f t="shared" si="2"/>
        <v>7.9279433108511916E-5</v>
      </c>
      <c r="H20" s="374">
        <f t="shared" si="3"/>
        <v>79.27943310851191</v>
      </c>
      <c r="I20" s="271">
        <f t="shared" si="4"/>
        <v>792.7943310851191</v>
      </c>
      <c r="J20" s="304">
        <f t="shared" si="5"/>
        <v>3963.9716554255951</v>
      </c>
      <c r="K20" s="254"/>
      <c r="L20" s="246"/>
      <c r="M20" s="261"/>
      <c r="N20" s="263"/>
      <c r="O20" s="263"/>
      <c r="Q20" s="315" t="s">
        <v>89</v>
      </c>
      <c r="R20" s="165">
        <f>K5</f>
        <v>4582.1558667008157</v>
      </c>
      <c r="S20" s="17">
        <f>L5</f>
        <v>543.17274500681924</v>
      </c>
      <c r="T20" s="225"/>
      <c r="U20" s="225"/>
      <c r="W20" s="6"/>
      <c r="X20" s="6"/>
    </row>
    <row r="21" spans="1:28" ht="15" thickBot="1" x14ac:dyDescent="0.35">
      <c r="A21" s="309"/>
      <c r="B21" s="156">
        <v>17</v>
      </c>
      <c r="C21" s="188">
        <v>9.3518769230769225E-2</v>
      </c>
      <c r="D21" s="273">
        <v>9.9779076923076915E-2</v>
      </c>
      <c r="E21" s="271">
        <f t="shared" si="0"/>
        <v>9.6648923076923077E-2</v>
      </c>
      <c r="F21" s="302">
        <f t="shared" si="1"/>
        <v>9.402738461538461E-2</v>
      </c>
      <c r="G21" s="303">
        <f t="shared" si="2"/>
        <v>5.7977176356754589E-5</v>
      </c>
      <c r="H21" s="374">
        <f t="shared" si="3"/>
        <v>57.97717635675459</v>
      </c>
      <c r="I21" s="271">
        <f t="shared" si="4"/>
        <v>579.77176356754592</v>
      </c>
      <c r="J21" s="304">
        <f t="shared" si="5"/>
        <v>2898.8588178377295</v>
      </c>
      <c r="K21" s="254"/>
      <c r="L21" s="246"/>
      <c r="M21" s="261"/>
      <c r="N21" s="263"/>
      <c r="O21" s="263"/>
      <c r="Q21" s="316" t="s">
        <v>90</v>
      </c>
      <c r="R21" s="166">
        <f>K14</f>
        <v>3633.0369593410655</v>
      </c>
      <c r="S21" s="167">
        <f>L14</f>
        <v>561.1432711023981</v>
      </c>
      <c r="T21" s="225"/>
      <c r="U21" s="225"/>
    </row>
    <row r="22" spans="1:28" ht="15" thickBot="1" x14ac:dyDescent="0.35">
      <c r="A22" s="310"/>
      <c r="B22" s="157">
        <v>18</v>
      </c>
      <c r="C22" s="189">
        <v>0.12769107692307691</v>
      </c>
      <c r="D22" s="190">
        <v>0.10535261538461538</v>
      </c>
      <c r="E22" s="119">
        <f t="shared" si="0"/>
        <v>0.11652184615384614</v>
      </c>
      <c r="F22" s="152">
        <f t="shared" si="1"/>
        <v>0.11390030769230768</v>
      </c>
      <c r="G22" s="192">
        <f t="shared" si="2"/>
        <v>7.0230797689177255E-5</v>
      </c>
      <c r="H22" s="375">
        <f t="shared" si="3"/>
        <v>70.230797689177251</v>
      </c>
      <c r="I22" s="119">
        <f t="shared" si="4"/>
        <v>702.30797689177257</v>
      </c>
      <c r="J22" s="265">
        <f t="shared" si="5"/>
        <v>3511.5398844588626</v>
      </c>
      <c r="K22" s="249"/>
      <c r="L22" s="247"/>
      <c r="M22" s="261"/>
      <c r="N22" s="263"/>
      <c r="O22" s="263"/>
    </row>
    <row r="23" spans="1:28" x14ac:dyDescent="0.3">
      <c r="A23" s="306" t="s">
        <v>88</v>
      </c>
      <c r="B23" s="155">
        <v>19</v>
      </c>
      <c r="C23" s="186">
        <v>3.8783999999999999E-2</v>
      </c>
      <c r="D23" s="187">
        <v>3.736430769230769E-2</v>
      </c>
      <c r="E23" s="145">
        <f t="shared" si="0"/>
        <v>3.8074153846153841E-2</v>
      </c>
      <c r="F23" s="151">
        <f t="shared" si="1"/>
        <v>3.5452615384615381E-2</v>
      </c>
      <c r="G23" s="191">
        <f t="shared" si="2"/>
        <v>2.1860041549275729E-5</v>
      </c>
      <c r="H23" s="373">
        <f t="shared" si="3"/>
        <v>21.860041549275728</v>
      </c>
      <c r="I23" s="145">
        <f t="shared" si="4"/>
        <v>218.60041549275729</v>
      </c>
      <c r="J23" s="304">
        <f>I23/($S$12/$S$13)</f>
        <v>1093.0020774637865</v>
      </c>
      <c r="K23" s="242">
        <f>AVERAGE(J23:J27)</f>
        <v>2409.0042403027969</v>
      </c>
      <c r="L23" s="245">
        <f>STDEV(J23:J27)</f>
        <v>878.03867001100787</v>
      </c>
      <c r="M23" s="261"/>
      <c r="N23" s="262"/>
      <c r="O23" s="263"/>
      <c r="T23" s="6"/>
    </row>
    <row r="24" spans="1:28" x14ac:dyDescent="0.3">
      <c r="A24" s="307"/>
      <c r="B24" s="156">
        <v>20</v>
      </c>
      <c r="C24" s="188">
        <v>0.10692923076923076</v>
      </c>
      <c r="D24" s="273"/>
      <c r="E24" s="271">
        <f t="shared" si="0"/>
        <v>0.10692923076923076</v>
      </c>
      <c r="F24" s="302">
        <f t="shared" si="1"/>
        <v>0.1043076923076923</v>
      </c>
      <c r="G24" s="303">
        <f t="shared" si="2"/>
        <v>6.4316002162838999E-5</v>
      </c>
      <c r="H24" s="374">
        <f t="shared" si="3"/>
        <v>64.316002162838998</v>
      </c>
      <c r="I24" s="271">
        <f t="shared" si="4"/>
        <v>643.16002162839004</v>
      </c>
      <c r="J24" s="304">
        <f t="shared" si="5"/>
        <v>3215.8001081419502</v>
      </c>
      <c r="K24" s="257"/>
      <c r="L24" s="246"/>
      <c r="M24" s="261"/>
      <c r="N24" s="262"/>
      <c r="O24" s="263"/>
      <c r="Q24" s="32"/>
      <c r="T24" s="6"/>
      <c r="U24" s="6"/>
      <c r="V24" s="6"/>
      <c r="W24" s="6"/>
    </row>
    <row r="25" spans="1:28" x14ac:dyDescent="0.3">
      <c r="A25" s="307"/>
      <c r="B25" s="156">
        <v>21</v>
      </c>
      <c r="C25" s="188">
        <v>6.5675076923076905E-2</v>
      </c>
      <c r="D25" s="273">
        <v>6.6110769230769223E-2</v>
      </c>
      <c r="E25" s="271">
        <f t="shared" si="0"/>
        <v>6.5892923076923071E-2</v>
      </c>
      <c r="F25" s="302">
        <f t="shared" si="1"/>
        <v>6.3271384615384604E-2</v>
      </c>
      <c r="G25" s="303">
        <f t="shared" si="2"/>
        <v>3.9013062409288817E-5</v>
      </c>
      <c r="H25" s="374">
        <f t="shared" si="3"/>
        <v>39.013062409288814</v>
      </c>
      <c r="I25" s="271">
        <f t="shared" si="4"/>
        <v>390.13062409288813</v>
      </c>
      <c r="J25" s="305">
        <f t="shared" si="5"/>
        <v>1950.6531204644405</v>
      </c>
      <c r="K25" s="257"/>
      <c r="L25" s="246"/>
      <c r="M25" s="261"/>
      <c r="N25" s="262"/>
      <c r="O25" s="263"/>
    </row>
    <row r="26" spans="1:28" x14ac:dyDescent="0.3">
      <c r="A26" s="307"/>
      <c r="B26" s="156">
        <v>22</v>
      </c>
      <c r="C26" s="188"/>
      <c r="D26" s="273">
        <v>9.9919384615384604E-2</v>
      </c>
      <c r="E26" s="271">
        <f t="shared" si="0"/>
        <v>9.9919384615384604E-2</v>
      </c>
      <c r="F26" s="302">
        <f t="shared" si="1"/>
        <v>9.7297846153846138E-2</v>
      </c>
      <c r="G26" s="303">
        <f t="shared" si="2"/>
        <v>5.999373915023192E-5</v>
      </c>
      <c r="H26" s="374">
        <f t="shared" si="3"/>
        <v>59.993739150231917</v>
      </c>
      <c r="I26" s="271">
        <f t="shared" si="4"/>
        <v>599.9373915023192</v>
      </c>
      <c r="J26" s="305">
        <f t="shared" si="5"/>
        <v>2999.6869575115957</v>
      </c>
      <c r="K26" s="257"/>
      <c r="L26" s="246"/>
      <c r="M26" s="261"/>
      <c r="N26" s="262"/>
      <c r="O26" s="263"/>
    </row>
    <row r="27" spans="1:28" ht="15" thickBot="1" x14ac:dyDescent="0.35">
      <c r="A27" s="318"/>
      <c r="B27" s="157">
        <v>23</v>
      </c>
      <c r="C27" s="189">
        <v>8.4356307692307703E-2</v>
      </c>
      <c r="D27" s="190">
        <v>0.10161230769230767</v>
      </c>
      <c r="E27" s="119">
        <f t="shared" si="0"/>
        <v>9.2984307692307686E-2</v>
      </c>
      <c r="F27" s="152">
        <f t="shared" si="1"/>
        <v>9.0362769230769219E-2</v>
      </c>
      <c r="G27" s="192">
        <f t="shared" si="2"/>
        <v>5.5717578758644229E-5</v>
      </c>
      <c r="H27" s="375">
        <f t="shared" si="3"/>
        <v>55.71757875864423</v>
      </c>
      <c r="I27" s="119">
        <f t="shared" si="4"/>
        <v>557.17578758644231</v>
      </c>
      <c r="J27" s="153">
        <f t="shared" si="5"/>
        <v>2785.8789379322116</v>
      </c>
      <c r="K27" s="244"/>
      <c r="L27" s="247"/>
      <c r="M27" s="261"/>
      <c r="N27" s="262"/>
      <c r="O27" s="263"/>
    </row>
    <row r="28" spans="1:28" x14ac:dyDescent="0.3">
      <c r="A28" s="136"/>
      <c r="E28" s="10"/>
      <c r="G28" s="10"/>
      <c r="H28" s="146"/>
      <c r="I28" s="10"/>
      <c r="J28" s="150"/>
      <c r="K28" s="3"/>
      <c r="L28" s="3"/>
    </row>
    <row r="29" spans="1:28" x14ac:dyDescent="0.3">
      <c r="A29" s="136"/>
      <c r="E29" s="10"/>
      <c r="G29" s="10"/>
      <c r="H29" s="146"/>
      <c r="I29" s="10"/>
      <c r="J29" s="150"/>
      <c r="K29" s="3"/>
      <c r="L29" s="3"/>
      <c r="T29" s="6"/>
      <c r="U29" s="6"/>
    </row>
    <row r="30" spans="1:28" x14ac:dyDescent="0.3">
      <c r="A30" s="136"/>
      <c r="E30" s="10"/>
      <c r="G30" s="10"/>
      <c r="H30" s="146"/>
      <c r="I30" s="10"/>
      <c r="J30" s="150"/>
      <c r="K30" s="3"/>
      <c r="L30" s="3"/>
      <c r="T30" s="6"/>
      <c r="U30" s="6"/>
      <c r="AB30" s="177"/>
    </row>
    <row r="31" spans="1:28" x14ac:dyDescent="0.3">
      <c r="A31" s="136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T31" s="6"/>
      <c r="U31" s="6"/>
      <c r="AB31" s="177"/>
    </row>
    <row r="32" spans="1:28" x14ac:dyDescent="0.3">
      <c r="A32" s="136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T32" s="6"/>
      <c r="U32" s="6"/>
      <c r="AB32" s="177"/>
    </row>
    <row r="33" spans="1:21" x14ac:dyDescent="0.3">
      <c r="A33" s="136"/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58"/>
      <c r="N33" s="135"/>
      <c r="O33" s="135"/>
      <c r="P33" s="135"/>
      <c r="T33" s="6"/>
      <c r="U33" s="6"/>
    </row>
    <row r="34" spans="1:21" x14ac:dyDescent="0.3">
      <c r="A34" s="136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58"/>
      <c r="N34" s="135"/>
      <c r="O34" s="135"/>
      <c r="P34" s="135"/>
      <c r="T34" s="6"/>
      <c r="U34" s="6"/>
    </row>
    <row r="35" spans="1:21" x14ac:dyDescent="0.3">
      <c r="A35" s="136"/>
      <c r="E35" s="10"/>
      <c r="G35" s="10"/>
      <c r="H35" s="146"/>
      <c r="I35" s="10"/>
      <c r="J35" s="150"/>
      <c r="K35" s="3"/>
      <c r="L35" s="3"/>
      <c r="T35" s="6"/>
      <c r="U35" s="6"/>
    </row>
    <row r="36" spans="1:21" x14ac:dyDescent="0.3">
      <c r="A36" s="136"/>
      <c r="E36" s="10"/>
      <c r="G36" s="10"/>
      <c r="H36" s="146"/>
      <c r="I36" s="10"/>
      <c r="J36" s="150"/>
      <c r="K36" s="3"/>
      <c r="L36" s="3"/>
      <c r="M36" t="e">
        <f>AVERAGE(M33:M34)</f>
        <v>#DIV/0!</v>
      </c>
      <c r="T36" s="6"/>
      <c r="U36" s="6"/>
    </row>
    <row r="37" spans="1:21" x14ac:dyDescent="0.3">
      <c r="A37" s="136"/>
      <c r="E37" s="10"/>
      <c r="G37" s="10"/>
      <c r="H37" s="146"/>
      <c r="I37" s="10"/>
      <c r="J37" s="150"/>
      <c r="K37" s="3"/>
      <c r="L37" s="3"/>
    </row>
    <row r="38" spans="1:21" x14ac:dyDescent="0.3">
      <c r="A38" s="136"/>
      <c r="E38" s="10"/>
      <c r="G38" s="10"/>
      <c r="H38" s="146"/>
      <c r="I38" s="10"/>
      <c r="J38" s="150"/>
      <c r="K38" s="3"/>
      <c r="L38" s="3"/>
    </row>
    <row r="39" spans="1:21" x14ac:dyDescent="0.3">
      <c r="A39" s="136"/>
      <c r="E39" s="10"/>
      <c r="G39" s="10"/>
      <c r="H39" s="146"/>
      <c r="I39" s="10"/>
      <c r="J39" s="150"/>
      <c r="K39" s="3"/>
      <c r="L39" s="3"/>
      <c r="R39" s="220" t="s">
        <v>106</v>
      </c>
      <c r="S39" s="220" t="s">
        <v>107</v>
      </c>
      <c r="T39" s="220" t="s">
        <v>108</v>
      </c>
    </row>
    <row r="40" spans="1:21" x14ac:dyDescent="0.3">
      <c r="A40" s="136"/>
      <c r="E40" s="10"/>
      <c r="G40" s="10"/>
      <c r="H40" s="146"/>
      <c r="I40" s="10"/>
      <c r="J40" s="150"/>
      <c r="K40" s="3"/>
      <c r="L40" s="3"/>
      <c r="R40" t="s">
        <v>103</v>
      </c>
      <c r="S40" s="222">
        <v>1.0000000000000001E-15</v>
      </c>
      <c r="T40" s="219">
        <f>(R20-R19)/R19</f>
        <v>0.90209539279385709</v>
      </c>
    </row>
    <row r="41" spans="1:21" x14ac:dyDescent="0.3">
      <c r="K41" s="102"/>
      <c r="L41" s="76"/>
      <c r="R41" t="s">
        <v>104</v>
      </c>
      <c r="S41" s="222">
        <v>1.2443640969999999E-2</v>
      </c>
      <c r="T41" s="219">
        <f>(R21-R19)/R19</f>
        <v>0.50810733271453901</v>
      </c>
    </row>
    <row r="42" spans="1:21" x14ac:dyDescent="0.3">
      <c r="K42" s="76"/>
      <c r="L42" s="76"/>
      <c r="R42" t="s">
        <v>105</v>
      </c>
      <c r="S42" s="221">
        <v>2.834221118E-2</v>
      </c>
    </row>
    <row r="43" spans="1:21" x14ac:dyDescent="0.3">
      <c r="K43" s="76"/>
      <c r="L43" s="76"/>
    </row>
    <row r="44" spans="1:21" x14ac:dyDescent="0.3">
      <c r="K44" s="76"/>
      <c r="L44" s="76"/>
    </row>
    <row r="45" spans="1:21" x14ac:dyDescent="0.3">
      <c r="K45" s="76"/>
      <c r="L45" s="76"/>
    </row>
    <row r="46" spans="1:21" x14ac:dyDescent="0.3">
      <c r="K46" s="76"/>
      <c r="L46" s="76"/>
    </row>
    <row r="47" spans="1:21" x14ac:dyDescent="0.3">
      <c r="K47" s="76"/>
      <c r="L47" s="76"/>
    </row>
    <row r="48" spans="1:21" x14ac:dyDescent="0.3">
      <c r="K48" s="76"/>
      <c r="L48" s="76"/>
    </row>
    <row r="49" spans="11:12" x14ac:dyDescent="0.3">
      <c r="K49" s="76"/>
      <c r="L49" s="76"/>
    </row>
  </sheetData>
  <mergeCells count="10">
    <mergeCell ref="Q5:V5"/>
    <mergeCell ref="A5:A13"/>
    <mergeCell ref="A14:A22"/>
    <mergeCell ref="A23:A27"/>
    <mergeCell ref="K23:K27"/>
    <mergeCell ref="L23:L27"/>
    <mergeCell ref="K14:K22"/>
    <mergeCell ref="K5:K13"/>
    <mergeCell ref="L5:L13"/>
    <mergeCell ref="L14:L2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C09E-C291-49FD-A538-87558C7B27B0}">
  <dimension ref="A1:B27"/>
  <sheetViews>
    <sheetView workbookViewId="0">
      <selection activeCell="C2" sqref="C2"/>
    </sheetView>
  </sheetViews>
  <sheetFormatPr defaultRowHeight="14.4" x14ac:dyDescent="0.3"/>
  <cols>
    <col min="1" max="1" width="14.77734375" style="177" bestFit="1" customWidth="1"/>
  </cols>
  <sheetData>
    <row r="1" spans="1:2" x14ac:dyDescent="0.3">
      <c r="A1" s="194" t="s">
        <v>91</v>
      </c>
      <c r="B1" s="194" t="s">
        <v>68</v>
      </c>
    </row>
    <row r="2" spans="1:2" x14ac:dyDescent="0.3">
      <c r="A2" t="s">
        <v>88</v>
      </c>
      <c r="B2">
        <v>1093.0020774637865</v>
      </c>
    </row>
    <row r="3" spans="1:2" x14ac:dyDescent="0.3">
      <c r="A3" t="s">
        <v>88</v>
      </c>
      <c r="B3">
        <v>3215.8001081419502</v>
      </c>
    </row>
    <row r="4" spans="1:2" x14ac:dyDescent="0.3">
      <c r="A4" t="s">
        <v>88</v>
      </c>
      <c r="B4">
        <v>1950.6531204644405</v>
      </c>
    </row>
    <row r="5" spans="1:2" x14ac:dyDescent="0.3">
      <c r="A5" t="s">
        <v>88</v>
      </c>
      <c r="B5">
        <v>2999.6869575115957</v>
      </c>
    </row>
    <row r="6" spans="1:2" x14ac:dyDescent="0.3">
      <c r="A6" t="s">
        <v>88</v>
      </c>
      <c r="B6">
        <v>2785.8789379322116</v>
      </c>
    </row>
    <row r="7" spans="1:2" x14ac:dyDescent="0.3">
      <c r="A7" t="s">
        <v>89</v>
      </c>
      <c r="B7" s="2">
        <v>5171.0350323002922</v>
      </c>
    </row>
    <row r="8" spans="1:2" x14ac:dyDescent="0.3">
      <c r="A8" t="s">
        <v>89</v>
      </c>
      <c r="B8" s="2">
        <v>5367.6541734255361</v>
      </c>
    </row>
    <row r="9" spans="1:2" x14ac:dyDescent="0.3">
      <c r="A9" t="s">
        <v>89</v>
      </c>
      <c r="B9" s="2">
        <v>4214.9178974928127</v>
      </c>
    </row>
    <row r="10" spans="1:2" x14ac:dyDescent="0.3">
      <c r="A10" t="s">
        <v>89</v>
      </c>
      <c r="B10" s="2">
        <v>4031.9018754090907</v>
      </c>
    </row>
    <row r="11" spans="1:2" x14ac:dyDescent="0.3">
      <c r="A11" t="s">
        <v>89</v>
      </c>
      <c r="B11" s="2">
        <v>4431.6286746919359</v>
      </c>
    </row>
    <row r="12" spans="1:2" x14ac:dyDescent="0.3">
      <c r="A12" t="s">
        <v>89</v>
      </c>
      <c r="B12" s="2">
        <v>5103.4463132132378</v>
      </c>
    </row>
    <row r="13" spans="1:2" x14ac:dyDescent="0.3">
      <c r="A13" t="s">
        <v>89</v>
      </c>
      <c r="B13" s="2">
        <v>4052.3065539713707</v>
      </c>
    </row>
    <row r="14" spans="1:2" x14ac:dyDescent="0.3">
      <c r="A14" t="s">
        <v>89</v>
      </c>
      <c r="B14" s="2">
        <v>4284.3564131022504</v>
      </c>
    </row>
    <row r="15" spans="1:2" x14ac:dyDescent="0.3">
      <c r="A15" t="s">
        <v>90</v>
      </c>
      <c r="B15" s="2">
        <v>3055.8069381598789</v>
      </c>
    </row>
    <row r="16" spans="1:2" x14ac:dyDescent="0.3">
      <c r="A16" t="s">
        <v>90</v>
      </c>
      <c r="B16" s="2">
        <v>4258.4308033808584</v>
      </c>
    </row>
    <row r="17" spans="1:2" x14ac:dyDescent="0.3">
      <c r="A17" t="s">
        <v>90</v>
      </c>
      <c r="B17" s="2">
        <v>3430.8033808588743</v>
      </c>
    </row>
    <row r="18" spans="1:2" x14ac:dyDescent="0.3">
      <c r="A18" t="s">
        <v>90</v>
      </c>
      <c r="B18" s="2">
        <v>4311.847235265659</v>
      </c>
    </row>
    <row r="19" spans="1:2" x14ac:dyDescent="0.3">
      <c r="A19" t="s">
        <v>90</v>
      </c>
      <c r="B19">
        <v>3963.9716554255951</v>
      </c>
    </row>
    <row r="20" spans="1:2" x14ac:dyDescent="0.3">
      <c r="A20" t="s">
        <v>90</v>
      </c>
      <c r="B20">
        <v>2898.8588178377295</v>
      </c>
    </row>
    <row r="21" spans="1:2" x14ac:dyDescent="0.3">
      <c r="A21" t="s">
        <v>90</v>
      </c>
      <c r="B21">
        <v>3511.5398844588626</v>
      </c>
    </row>
    <row r="22" spans="1:2" x14ac:dyDescent="0.3">
      <c r="A22"/>
    </row>
    <row r="23" spans="1:2" x14ac:dyDescent="0.3">
      <c r="A23"/>
    </row>
    <row r="24" spans="1:2" x14ac:dyDescent="0.3">
      <c r="A24"/>
    </row>
    <row r="25" spans="1:2" x14ac:dyDescent="0.3">
      <c r="A25"/>
    </row>
    <row r="26" spans="1:2" x14ac:dyDescent="0.3">
      <c r="A26"/>
    </row>
    <row r="27" spans="1:2" x14ac:dyDescent="0.3">
      <c r="A27"/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5271-0C44-4415-A678-3F2329FC91B1}">
  <sheetPr>
    <tabColor theme="5"/>
  </sheetPr>
  <dimension ref="A1:U51"/>
  <sheetViews>
    <sheetView zoomScale="70" zoomScaleNormal="70" workbookViewId="0">
      <selection activeCell="F3" sqref="F3:F25"/>
    </sheetView>
  </sheetViews>
  <sheetFormatPr defaultColWidth="8.77734375" defaultRowHeight="14.4" x14ac:dyDescent="0.3"/>
  <cols>
    <col min="1" max="1" width="15.88671875" bestFit="1" customWidth="1"/>
    <col min="2" max="2" width="10.21875" bestFit="1" customWidth="1"/>
    <col min="3" max="3" width="10" style="77" bestFit="1" customWidth="1"/>
    <col min="4" max="4" width="7.77734375" style="77" bestFit="1" customWidth="1"/>
    <col min="5" max="5" width="8.21875" style="77" bestFit="1" customWidth="1"/>
    <col min="6" max="6" width="19" style="103" bestFit="1" customWidth="1"/>
    <col min="7" max="7" width="15.77734375" style="77" customWidth="1"/>
    <col min="8" max="8" width="13" style="77" customWidth="1"/>
    <col min="9" max="9" width="21.109375" bestFit="1" customWidth="1"/>
    <col min="10" max="10" width="16.44140625" customWidth="1"/>
    <col min="11" max="11" width="23.109375" bestFit="1" customWidth="1"/>
    <col min="12" max="12" width="15.44140625" bestFit="1" customWidth="1"/>
    <col min="13" max="13" width="10.88671875" bestFit="1" customWidth="1"/>
    <col min="15" max="15" width="30.5546875" bestFit="1" customWidth="1"/>
    <col min="16" max="16" width="8.6640625" bestFit="1" customWidth="1"/>
    <col min="17" max="17" width="10.88671875" bestFit="1" customWidth="1"/>
  </cols>
  <sheetData>
    <row r="1" spans="1:20" ht="15" thickBot="1" x14ac:dyDescent="0.35">
      <c r="F1" s="266"/>
      <c r="G1" s="266" t="s">
        <v>110</v>
      </c>
    </row>
    <row r="2" spans="1:20" ht="15" thickBot="1" x14ac:dyDescent="0.35">
      <c r="A2" s="59" t="s">
        <v>0</v>
      </c>
      <c r="B2" s="60" t="s">
        <v>1</v>
      </c>
      <c r="C2" s="40" t="s">
        <v>123</v>
      </c>
      <c r="D2" s="41" t="s">
        <v>30</v>
      </c>
      <c r="E2" s="86" t="s">
        <v>25</v>
      </c>
      <c r="F2" s="61" t="s">
        <v>41</v>
      </c>
      <c r="G2" s="42" t="s">
        <v>117</v>
      </c>
      <c r="H2" s="40" t="s">
        <v>101</v>
      </c>
      <c r="J2" s="16" t="s">
        <v>34</v>
      </c>
      <c r="K2" s="2"/>
      <c r="L2" s="2"/>
      <c r="M2" s="2"/>
      <c r="N2" s="6"/>
      <c r="O2" s="6"/>
      <c r="P2" s="6"/>
      <c r="Q2" s="7"/>
    </row>
    <row r="3" spans="1:20" ht="16.2" thickBot="1" x14ac:dyDescent="0.4">
      <c r="A3" s="311" t="s">
        <v>89</v>
      </c>
      <c r="B3" s="4">
        <v>1</v>
      </c>
      <c r="C3" s="104">
        <v>0.72699999999999998</v>
      </c>
      <c r="D3" s="87">
        <f ca="1">(C3-$P$30)/($O$30)</f>
        <v>2.5273309959044288</v>
      </c>
      <c r="E3" s="88">
        <f ca="1">D3*$L$9</f>
        <v>12.636654979522143</v>
      </c>
      <c r="F3" s="89">
        <f ca="1">E3/($L$10/$L$11)</f>
        <v>25.273309959044287</v>
      </c>
      <c r="G3" s="250">
        <f ca="1">AVERAGE(F3:F11)</f>
        <v>27.766469176740806</v>
      </c>
      <c r="H3" s="245">
        <f ca="1">STDEV(F3:F11)</f>
        <v>6.3520697305278517</v>
      </c>
      <c r="I3" s="269"/>
      <c r="J3" s="228" t="s">
        <v>46</v>
      </c>
      <c r="K3" s="229"/>
      <c r="L3" s="229"/>
      <c r="M3" s="230"/>
      <c r="N3" s="81"/>
      <c r="O3" s="82"/>
      <c r="P3" s="82"/>
      <c r="Q3" s="82"/>
      <c r="R3" s="82"/>
      <c r="S3" s="44"/>
      <c r="T3" s="44"/>
    </row>
    <row r="4" spans="1:20" x14ac:dyDescent="0.3">
      <c r="A4" s="312"/>
      <c r="B4" s="5">
        <v>2</v>
      </c>
      <c r="C4" s="105">
        <v>0.89800000000000002</v>
      </c>
      <c r="D4" s="90">
        <f ca="1">(C4-$P$30)/($O$30)</f>
        <v>3.1812117109751412</v>
      </c>
      <c r="E4" s="91">
        <f ca="1">D4*$L$9</f>
        <v>15.906058554875706</v>
      </c>
      <c r="F4" s="92">
        <f ca="1">E4/($L$10/$L$11)</f>
        <v>31.812117109751412</v>
      </c>
      <c r="G4" s="251"/>
      <c r="H4" s="246"/>
      <c r="I4" s="269"/>
      <c r="J4" s="64"/>
      <c r="K4" s="75" t="s">
        <v>35</v>
      </c>
      <c r="L4" s="65">
        <v>2.23</v>
      </c>
      <c r="M4" s="66" t="s">
        <v>32</v>
      </c>
      <c r="N4" s="84" t="s">
        <v>42</v>
      </c>
    </row>
    <row r="5" spans="1:20" ht="15" thickBot="1" x14ac:dyDescent="0.35">
      <c r="A5" s="312"/>
      <c r="B5" s="24">
        <v>3</v>
      </c>
      <c r="C5" s="106">
        <v>1.448</v>
      </c>
      <c r="D5" s="93">
        <f ca="1">(C5-$P$30)/($O$30)</f>
        <v>5.2843368179277252</v>
      </c>
      <c r="E5" s="94">
        <f ca="1">D5*$L$9</f>
        <v>26.421684089638624</v>
      </c>
      <c r="F5" s="320"/>
      <c r="G5" s="251"/>
      <c r="H5" s="246"/>
      <c r="J5" s="67"/>
      <c r="K5" s="73" t="s">
        <v>36</v>
      </c>
      <c r="L5" s="68">
        <v>300</v>
      </c>
      <c r="M5" s="69" t="s">
        <v>32</v>
      </c>
    </row>
    <row r="6" spans="1:20" ht="15" thickBot="1" x14ac:dyDescent="0.35">
      <c r="A6" s="312"/>
      <c r="B6" s="23">
        <v>4</v>
      </c>
      <c r="C6" s="107">
        <v>0.218</v>
      </c>
      <c r="D6" s="96">
        <f ca="1">(C6-$P$30)/($O$30)</f>
        <v>0.58098430601558348</v>
      </c>
      <c r="E6" s="97">
        <f ca="1">D6*$L$9</f>
        <v>2.9049215300779174</v>
      </c>
      <c r="F6" s="321"/>
      <c r="G6" s="251"/>
      <c r="H6" s="246"/>
      <c r="J6" s="70"/>
      <c r="K6" s="74" t="s">
        <v>37</v>
      </c>
      <c r="L6" s="79">
        <f>L5/350</f>
        <v>0.8571428571428571</v>
      </c>
      <c r="M6" s="72" t="s">
        <v>33</v>
      </c>
    </row>
    <row r="7" spans="1:20" x14ac:dyDescent="0.3">
      <c r="A7" s="312"/>
      <c r="B7" s="5">
        <v>5</v>
      </c>
      <c r="C7" s="105">
        <v>1.01</v>
      </c>
      <c r="D7" s="90">
        <f ca="1">(C7-$P$30)/($O$30)</f>
        <v>3.6094844600273039</v>
      </c>
      <c r="E7" s="91">
        <f ca="1">D7*$L$9</f>
        <v>18.047422300136521</v>
      </c>
      <c r="F7" s="322">
        <f ca="1">E7/($L$10/$L$11)</f>
        <v>36.094844600273042</v>
      </c>
      <c r="G7" s="251"/>
      <c r="H7" s="246"/>
    </row>
    <row r="8" spans="1:20" ht="15" thickBot="1" x14ac:dyDescent="0.35">
      <c r="A8" s="312"/>
      <c r="B8" s="1">
        <v>6</v>
      </c>
      <c r="C8" s="108">
        <v>0.57899999999999996</v>
      </c>
      <c r="D8" s="99">
        <f ca="1">(C8-$P$30)/($O$30)</f>
        <v>1.9613991489426428</v>
      </c>
      <c r="E8" s="100">
        <f ca="1">D8*$L$9</f>
        <v>9.8069957447132143</v>
      </c>
      <c r="F8" s="323">
        <f ca="1">E8/($L$10/$L$11)</f>
        <v>19.613991489426429</v>
      </c>
      <c r="G8" s="251"/>
      <c r="H8" s="246"/>
      <c r="J8" s="31" t="s">
        <v>116</v>
      </c>
    </row>
    <row r="9" spans="1:20" x14ac:dyDescent="0.3">
      <c r="A9" s="312"/>
      <c r="B9" s="4">
        <v>7</v>
      </c>
      <c r="C9" s="104">
        <v>0.747</v>
      </c>
      <c r="D9" s="87">
        <f ca="1">(C9-$P$30)/($O$30)</f>
        <v>2.6038082725208866</v>
      </c>
      <c r="E9" s="88">
        <f ca="1">D9*$L$9</f>
        <v>13.019041362604433</v>
      </c>
      <c r="F9" s="324">
        <f ca="1">E9/($L$10/$L$11)</f>
        <v>26.038082725208866</v>
      </c>
      <c r="G9" s="251"/>
      <c r="H9" s="246"/>
      <c r="J9" s="8"/>
      <c r="K9" s="22" t="s">
        <v>9</v>
      </c>
      <c r="L9" s="33">
        <v>5</v>
      </c>
      <c r="M9" s="9" t="s">
        <v>10</v>
      </c>
    </row>
    <row r="10" spans="1:20" ht="14.55" customHeight="1" x14ac:dyDescent="0.3">
      <c r="A10" s="312"/>
      <c r="B10" s="5">
        <v>8</v>
      </c>
      <c r="C10" s="105">
        <v>1.875</v>
      </c>
      <c r="D10" s="90">
        <f ca="1">(C10-$P$30)/($O$30)</f>
        <v>6.9171266736890944</v>
      </c>
      <c r="E10" s="91">
        <f ca="1">D10*$L$9</f>
        <v>34.585633368445471</v>
      </c>
      <c r="F10" s="322"/>
      <c r="G10" s="251"/>
      <c r="H10" s="246"/>
      <c r="J10" s="11"/>
      <c r="K10" s="28" t="s">
        <v>11</v>
      </c>
      <c r="L10" s="34">
        <v>0.5</v>
      </c>
      <c r="M10" s="12" t="s">
        <v>12</v>
      </c>
    </row>
    <row r="11" spans="1:20" ht="15" thickBot="1" x14ac:dyDescent="0.35">
      <c r="A11" s="313"/>
      <c r="B11" s="24">
        <v>9</v>
      </c>
      <c r="C11" s="106">
        <v>1.1990000000000001</v>
      </c>
      <c r="D11" s="93">
        <f ca="1">(C11-$P$30)/($O$30)</f>
        <v>4.3321947240528278</v>
      </c>
      <c r="E11" s="94">
        <f ca="1">D11*$L$9</f>
        <v>21.660973620264137</v>
      </c>
      <c r="F11" s="320"/>
      <c r="G11" s="251"/>
      <c r="H11" s="246"/>
      <c r="J11" s="11"/>
      <c r="K11" s="28" t="s">
        <v>13</v>
      </c>
      <c r="L11" s="35">
        <v>1</v>
      </c>
      <c r="M11" s="12" t="s">
        <v>14</v>
      </c>
    </row>
    <row r="12" spans="1:20" ht="15" thickBot="1" x14ac:dyDescent="0.35">
      <c r="A12" s="308" t="s">
        <v>90</v>
      </c>
      <c r="B12" s="23">
        <v>10</v>
      </c>
      <c r="C12" s="107">
        <v>1.4810000000000001</v>
      </c>
      <c r="D12" s="96">
        <f ca="1">(C12-$P$30)/($O$30)</f>
        <v>5.4105243243448795</v>
      </c>
      <c r="E12" s="97">
        <f ca="1">D12*$L$9</f>
        <v>27.052621621724398</v>
      </c>
      <c r="F12" s="321"/>
      <c r="G12" s="250">
        <f t="shared" ref="G12" ca="1" si="0">AVERAGE(F12:F20)</f>
        <v>29.466813960180048</v>
      </c>
      <c r="H12" s="245">
        <f t="shared" ref="H12" ca="1" si="1">STDEV(F12:F20)</f>
        <v>8.7420139787039766</v>
      </c>
      <c r="J12" s="13"/>
      <c r="K12" s="14" t="s">
        <v>15</v>
      </c>
      <c r="L12" s="55">
        <f ca="1">L23</f>
        <v>5.0999999999999997E-2</v>
      </c>
      <c r="M12" s="54" t="s">
        <v>24</v>
      </c>
    </row>
    <row r="13" spans="1:20" x14ac:dyDescent="0.3">
      <c r="A13" s="309"/>
      <c r="B13" s="5">
        <v>11</v>
      </c>
      <c r="C13" s="105">
        <v>0.70799999999999996</v>
      </c>
      <c r="D13" s="90">
        <f ca="1">(C13-$P$30)/($O$30)</f>
        <v>2.4546775831187939</v>
      </c>
      <c r="E13" s="91">
        <f ca="1">D13*$L$9</f>
        <v>12.27338791559397</v>
      </c>
      <c r="F13" s="322">
        <f ca="1">E13/($L$10/$L$11)</f>
        <v>24.54677583118794</v>
      </c>
      <c r="G13" s="251"/>
      <c r="H13" s="246"/>
      <c r="N13" s="10"/>
    </row>
    <row r="14" spans="1:20" ht="15" thickBot="1" x14ac:dyDescent="0.35">
      <c r="A14" s="309"/>
      <c r="B14" s="1">
        <v>12</v>
      </c>
      <c r="C14" s="108">
        <v>0.54700000000000004</v>
      </c>
      <c r="D14" s="99">
        <f ca="1">(C14-$P$30)/($O$30)</f>
        <v>1.8390355063563109</v>
      </c>
      <c r="E14" s="100">
        <f ca="1">D14*$L$9</f>
        <v>9.1951775317815549</v>
      </c>
      <c r="F14" s="323">
        <f ca="1">E14/($L$10/$L$11)</f>
        <v>18.39035506356311</v>
      </c>
      <c r="G14" s="251"/>
      <c r="H14" s="246"/>
      <c r="J14" s="16" t="s">
        <v>16</v>
      </c>
      <c r="K14" s="2"/>
      <c r="L14" s="2"/>
      <c r="M14" s="341"/>
      <c r="N14" s="10"/>
    </row>
    <row r="15" spans="1:20" ht="15" thickBot="1" x14ac:dyDescent="0.35">
      <c r="A15" s="309"/>
      <c r="B15" s="4">
        <v>13</v>
      </c>
      <c r="C15" s="104">
        <v>0.69499999999999995</v>
      </c>
      <c r="D15" s="87">
        <f ca="1">(C15-$P$30)/($O$30)</f>
        <v>2.4049673533180966</v>
      </c>
      <c r="E15" s="88">
        <f ca="1">D15*$L$9</f>
        <v>12.024836766590482</v>
      </c>
      <c r="F15" s="324">
        <f ca="1">E15/($L$10/$L$11)</f>
        <v>24.049673533180965</v>
      </c>
      <c r="G15" s="251"/>
      <c r="H15" s="246"/>
      <c r="J15" s="37" t="s">
        <v>17</v>
      </c>
      <c r="K15" s="162" t="s">
        <v>118</v>
      </c>
      <c r="L15" s="163" t="s">
        <v>19</v>
      </c>
      <c r="M15" s="341"/>
      <c r="N15" s="226"/>
    </row>
    <row r="16" spans="1:20" ht="15" thickBot="1" x14ac:dyDescent="0.35">
      <c r="A16" s="309"/>
      <c r="B16" s="5">
        <v>14</v>
      </c>
      <c r="C16" s="105">
        <v>0.98499999999999999</v>
      </c>
      <c r="D16" s="90">
        <f ca="1">(C16-$P$30)/($O$30)</f>
        <v>3.5138878642567319</v>
      </c>
      <c r="E16" s="91">
        <f ca="1">D16*$L$9</f>
        <v>17.56943932128366</v>
      </c>
      <c r="F16" s="322">
        <f ca="1">E16/($L$10/$L$11)</f>
        <v>35.13887864256732</v>
      </c>
      <c r="G16" s="251"/>
      <c r="H16" s="246"/>
      <c r="J16" s="329" t="s">
        <v>88</v>
      </c>
      <c r="K16" s="256">
        <f ca="1">G21</f>
        <v>43.589617708685886</v>
      </c>
      <c r="L16" s="17">
        <f ca="1">H21</f>
        <v>2.8101280180526462</v>
      </c>
      <c r="M16" s="341"/>
      <c r="N16" s="225"/>
    </row>
    <row r="17" spans="1:17" ht="15" thickBot="1" x14ac:dyDescent="0.35">
      <c r="A17" s="309"/>
      <c r="B17" s="24">
        <v>15</v>
      </c>
      <c r="C17" s="106">
        <v>1.173</v>
      </c>
      <c r="D17" s="93">
        <f ca="1">(C17-$P$30)/($O$30)</f>
        <v>4.2327742644514332</v>
      </c>
      <c r="E17" s="94">
        <f ca="1">D17*$L$9</f>
        <v>21.163871322257165</v>
      </c>
      <c r="F17" s="320">
        <f ca="1">E17/($L$10/$L$11)</f>
        <v>42.327742644514331</v>
      </c>
      <c r="G17" s="251"/>
      <c r="H17" s="246"/>
      <c r="J17" s="330" t="s">
        <v>89</v>
      </c>
      <c r="K17" s="256">
        <f ca="1">G3</f>
        <v>27.766469176740806</v>
      </c>
      <c r="L17" s="17">
        <f ca="1">H3</f>
        <v>6.3520697305278517</v>
      </c>
      <c r="M17" s="225"/>
      <c r="N17" s="225"/>
    </row>
    <row r="18" spans="1:17" ht="15" thickBot="1" x14ac:dyDescent="0.35">
      <c r="A18" s="309"/>
      <c r="B18" s="23">
        <v>16</v>
      </c>
      <c r="C18" s="107">
        <v>0.91200000000000003</v>
      </c>
      <c r="D18" s="96">
        <f ca="1">(C18-$P$30)/($O$30)</f>
        <v>3.2347458046066619</v>
      </c>
      <c r="E18" s="97">
        <f ca="1">D18*$L$9</f>
        <v>16.17372902303331</v>
      </c>
      <c r="F18" s="321">
        <f ca="1">E18/($L$10/$L$11)</f>
        <v>32.34745804606662</v>
      </c>
      <c r="G18" s="251"/>
      <c r="H18" s="246"/>
      <c r="J18" s="331" t="s">
        <v>90</v>
      </c>
      <c r="K18" s="27">
        <f ca="1">G12</f>
        <v>29.466813960180048</v>
      </c>
      <c r="L18" s="167">
        <f ca="1">H12</f>
        <v>8.7420139787039766</v>
      </c>
      <c r="M18" s="225"/>
      <c r="N18" s="225"/>
    </row>
    <row r="19" spans="1:17" x14ac:dyDescent="0.3">
      <c r="A19" s="309"/>
      <c r="B19" s="5">
        <v>17</v>
      </c>
      <c r="C19" s="105">
        <v>1.6659999999999999</v>
      </c>
      <c r="D19" s="90">
        <f ca="1">(C19-$P$30)/($O$30)</f>
        <v>6.1179391330471127</v>
      </c>
      <c r="E19" s="91">
        <f ca="1">D19*$L$9</f>
        <v>30.589695665235563</v>
      </c>
      <c r="F19" s="322"/>
      <c r="G19" s="251"/>
      <c r="H19" s="246"/>
    </row>
    <row r="20" spans="1:17" ht="15" thickBot="1" x14ac:dyDescent="0.35">
      <c r="A20" s="310"/>
      <c r="B20" s="1">
        <v>18</v>
      </c>
      <c r="C20" s="108">
        <v>1.3540000000000001</v>
      </c>
      <c r="D20" s="99">
        <f ca="1">(C20-$P$30)/($O$30)</f>
        <v>4.9248936178303753</v>
      </c>
      <c r="E20" s="100">
        <f ca="1">D20*$L$9</f>
        <v>24.624468089151875</v>
      </c>
      <c r="F20" s="323"/>
      <c r="G20" s="251"/>
      <c r="H20" s="246"/>
      <c r="M20" s="6"/>
      <c r="N20" s="6"/>
    </row>
    <row r="21" spans="1:17" ht="15" thickBot="1" x14ac:dyDescent="0.35">
      <c r="A21" s="306" t="s">
        <v>88</v>
      </c>
      <c r="B21" s="4">
        <v>19</v>
      </c>
      <c r="C21" s="104">
        <v>1.6870000000000001</v>
      </c>
      <c r="D21" s="87">
        <f ca="1">(C21-$P$30)/($O$30)</f>
        <v>6.1982402734943927</v>
      </c>
      <c r="E21" s="88">
        <f ca="1">D21*$L$9</f>
        <v>30.991201367471962</v>
      </c>
      <c r="F21" s="324"/>
      <c r="G21" s="250">
        <f ca="1">AVERAGE(F21:F25)</f>
        <v>43.589617708685886</v>
      </c>
      <c r="H21" s="245">
        <f ca="1">STDEV(F21:F25)</f>
        <v>2.8101280180526462</v>
      </c>
      <c r="K21" s="53" t="s">
        <v>29</v>
      </c>
      <c r="M21" s="6"/>
      <c r="N21" s="6"/>
    </row>
    <row r="22" spans="1:17" ht="15" thickBot="1" x14ac:dyDescent="0.35">
      <c r="A22" s="307"/>
      <c r="B22" s="5">
        <v>20</v>
      </c>
      <c r="C22" s="105">
        <v>1.2949999999999999</v>
      </c>
      <c r="D22" s="90">
        <f ca="1">(C22-$P$30)/($O$30)</f>
        <v>4.6992856518118247</v>
      </c>
      <c r="E22" s="91">
        <f ca="1">D22*$L$9</f>
        <v>23.496428259059122</v>
      </c>
      <c r="F22" s="322">
        <f ca="1">E22/($L$10/$L$11)</f>
        <v>46.992856518118245</v>
      </c>
      <c r="G22" s="252"/>
      <c r="H22" s="246"/>
      <c r="K22" s="59" t="s">
        <v>50</v>
      </c>
      <c r="L22" s="51" t="s">
        <v>119</v>
      </c>
      <c r="N22" s="6"/>
    </row>
    <row r="23" spans="1:17" ht="15" thickBot="1" x14ac:dyDescent="0.35">
      <c r="A23" s="307"/>
      <c r="B23" s="24">
        <v>21</v>
      </c>
      <c r="C23" s="106">
        <v>1.1970000000000001</v>
      </c>
      <c r="D23" s="93">
        <f ca="1">(C23-$P$30)/($O$30)</f>
        <v>4.3245469963911827</v>
      </c>
      <c r="E23" s="94">
        <f ca="1">D23*$L$9</f>
        <v>21.622734981955915</v>
      </c>
      <c r="F23" s="320">
        <f ca="1">E23/($L$10/$L$11)</f>
        <v>43.24546996391183</v>
      </c>
      <c r="G23" s="252"/>
      <c r="H23" s="246"/>
      <c r="K23" s="114">
        <v>0</v>
      </c>
      <c r="L23" s="116">
        <f ca="1">AVERAGE(L23:L23)</f>
        <v>5.0999999999999997E-2</v>
      </c>
      <c r="N23" s="6"/>
    </row>
    <row r="24" spans="1:17" x14ac:dyDescent="0.3">
      <c r="A24" s="307"/>
      <c r="B24" s="23">
        <v>22</v>
      </c>
      <c r="C24" s="107">
        <v>1.216</v>
      </c>
      <c r="D24" s="96">
        <f ca="1">(C24-$P$30)/($O$30)</f>
        <v>4.3972004091768166</v>
      </c>
      <c r="E24" s="97">
        <f ca="1">D24*$L$9</f>
        <v>21.986002045884085</v>
      </c>
      <c r="F24" s="98">
        <f ca="1">E24/($L$10/$L$11)</f>
        <v>43.97200409176817</v>
      </c>
      <c r="G24" s="252"/>
      <c r="H24" s="246"/>
      <c r="K24" s="114">
        <v>0.1</v>
      </c>
      <c r="L24" s="116">
        <f ca="1">AVERAGE(L24:L24)</f>
        <v>7.5999999999999998E-2</v>
      </c>
    </row>
    <row r="25" spans="1:17" ht="15" thickBot="1" x14ac:dyDescent="0.35">
      <c r="A25" s="318"/>
      <c r="B25" s="24">
        <v>23</v>
      </c>
      <c r="C25" s="106">
        <v>1.1160000000000001</v>
      </c>
      <c r="D25" s="93">
        <f ca="1">(C25-$P$30)/($O$30)</f>
        <v>4.0148140260945295</v>
      </c>
      <c r="E25" s="94">
        <f ca="1">D25*$L$9</f>
        <v>20.074070130472649</v>
      </c>
      <c r="F25" s="95">
        <f ca="1">E25/($L$10/$L$11)</f>
        <v>40.148140260945297</v>
      </c>
      <c r="G25" s="253"/>
      <c r="H25" s="247"/>
      <c r="K25" s="114">
        <v>0.4</v>
      </c>
      <c r="L25" s="116">
        <f ca="1">AVERAGE(L25:L25)</f>
        <v>0.14799999999999999</v>
      </c>
      <c r="N25" s="2"/>
    </row>
    <row r="26" spans="1:17" x14ac:dyDescent="0.3">
      <c r="A26" s="136"/>
      <c r="C26" s="10"/>
      <c r="D26" s="10"/>
      <c r="E26" s="101"/>
      <c r="F26" s="10"/>
      <c r="G26" s="3"/>
      <c r="H26" s="3"/>
      <c r="K26" s="114">
        <v>1</v>
      </c>
      <c r="L26" s="116">
        <f ca="1">AVERAGE(L26:L26)</f>
        <v>0.372</v>
      </c>
      <c r="N26" s="2"/>
    </row>
    <row r="27" spans="1:17" x14ac:dyDescent="0.3">
      <c r="A27" s="136"/>
      <c r="C27" s="10"/>
      <c r="D27" s="10"/>
      <c r="E27" s="101"/>
      <c r="F27" s="10"/>
      <c r="G27" s="3"/>
      <c r="H27" s="3"/>
      <c r="K27" s="114">
        <v>2</v>
      </c>
      <c r="L27" s="116">
        <f ca="1">AVERAGE(L27:L27)</f>
        <v>0.58399999999999996</v>
      </c>
      <c r="N27" s="2"/>
    </row>
    <row r="28" spans="1:17" ht="15" thickBot="1" x14ac:dyDescent="0.35">
      <c r="A28" s="136"/>
      <c r="C28" s="10"/>
      <c r="D28" s="10"/>
      <c r="E28" s="101"/>
      <c r="F28" s="10"/>
      <c r="G28" s="3"/>
      <c r="H28" s="3"/>
      <c r="K28" s="114">
        <v>3</v>
      </c>
      <c r="L28" s="116">
        <f ca="1">AVERAGE(L28:L28)</f>
        <v>0.91500000000000004</v>
      </c>
      <c r="N28" s="2"/>
    </row>
    <row r="29" spans="1:17" ht="16.8" thickBot="1" x14ac:dyDescent="0.35">
      <c r="A29" s="136"/>
      <c r="C29" s="10"/>
      <c r="D29" s="10"/>
      <c r="E29" s="101"/>
      <c r="F29" s="10"/>
      <c r="G29" s="3"/>
      <c r="H29" s="3"/>
      <c r="K29" s="114">
        <v>4</v>
      </c>
      <c r="L29" s="116">
        <f ca="1">AVERAGE(L29:L29)</f>
        <v>1.08</v>
      </c>
      <c r="N29" s="2"/>
      <c r="O29" s="50" t="s">
        <v>28</v>
      </c>
      <c r="P29" s="49" t="s">
        <v>27</v>
      </c>
      <c r="Q29" s="48" t="s">
        <v>26</v>
      </c>
    </row>
    <row r="30" spans="1:17" ht="15" thickBot="1" x14ac:dyDescent="0.35">
      <c r="A30" s="136"/>
      <c r="C30" s="10"/>
      <c r="D30" s="10"/>
      <c r="E30" s="101"/>
      <c r="F30" s="10"/>
      <c r="G30" s="63"/>
      <c r="H30" s="3"/>
      <c r="K30" s="115">
        <v>5</v>
      </c>
      <c r="L30" s="117">
        <f ca="1">AVERAGE(L30:L30)</f>
        <v>1.3560000000000001</v>
      </c>
      <c r="N30" s="2"/>
      <c r="O30" s="47">
        <f ca="1">SLOPE(L23:L30,K23:K30)</f>
        <v>0.26151558848391426</v>
      </c>
      <c r="P30" s="46">
        <f ca="1">INTERCEPT(L23:L30,K23:K30)</f>
        <v>6.6063547312416149E-2</v>
      </c>
      <c r="Q30" s="45">
        <f ca="1">RSQ(L23:L30,K23:K30)</f>
        <v>0.99508476466024443</v>
      </c>
    </row>
    <row r="31" spans="1:17" x14ac:dyDescent="0.3">
      <c r="A31" s="136"/>
      <c r="C31" s="10"/>
      <c r="D31" s="10"/>
      <c r="E31" s="101"/>
      <c r="F31" s="10"/>
      <c r="G31" s="3"/>
      <c r="H31" s="3"/>
      <c r="N31" s="2"/>
    </row>
    <row r="32" spans="1:17" x14ac:dyDescent="0.3">
      <c r="A32" s="136"/>
      <c r="C32" s="10"/>
      <c r="D32" s="10"/>
      <c r="E32" s="101"/>
      <c r="F32" s="10"/>
      <c r="G32" s="3"/>
      <c r="H32" s="3"/>
      <c r="J32" s="83"/>
      <c r="N32" s="2"/>
    </row>
    <row r="33" spans="1:21" x14ac:dyDescent="0.3">
      <c r="A33" s="136"/>
      <c r="C33" s="10"/>
      <c r="D33" s="10"/>
      <c r="E33" s="101"/>
      <c r="F33" s="10"/>
      <c r="G33" s="3"/>
      <c r="H33" s="3"/>
      <c r="N33" s="2"/>
      <c r="P33" s="21"/>
      <c r="Q33" s="20"/>
      <c r="R33" s="6"/>
    </row>
    <row r="34" spans="1:21" x14ac:dyDescent="0.3">
      <c r="A34" s="136"/>
      <c r="C34" s="10"/>
      <c r="D34" s="10"/>
      <c r="E34" s="101"/>
      <c r="F34" s="10"/>
      <c r="G34" s="3"/>
      <c r="H34" s="3"/>
      <c r="N34" s="2"/>
      <c r="P34" s="6"/>
      <c r="Q34" s="6"/>
      <c r="R34" s="6"/>
    </row>
    <row r="35" spans="1:21" x14ac:dyDescent="0.3">
      <c r="A35" s="136"/>
      <c r="C35" s="10"/>
      <c r="D35" s="10"/>
      <c r="E35" s="101"/>
      <c r="F35" s="10"/>
      <c r="G35" s="3"/>
      <c r="H35" s="3"/>
      <c r="N35" s="2"/>
      <c r="P35" s="6"/>
      <c r="Q35" s="6"/>
      <c r="R35" s="6"/>
    </row>
    <row r="36" spans="1:21" x14ac:dyDescent="0.3">
      <c r="A36" s="136"/>
      <c r="C36" s="10"/>
      <c r="D36" s="10"/>
      <c r="E36" s="101"/>
      <c r="F36" s="10"/>
      <c r="G36" s="3"/>
      <c r="H36" s="3"/>
      <c r="N36" s="2"/>
      <c r="P36" s="6"/>
      <c r="Q36" s="6"/>
      <c r="R36" s="6"/>
    </row>
    <row r="37" spans="1:21" x14ac:dyDescent="0.3">
      <c r="A37" s="136"/>
      <c r="C37" s="10"/>
      <c r="D37" s="10"/>
      <c r="E37" s="101"/>
      <c r="F37" s="10"/>
      <c r="G37" s="3"/>
      <c r="H37" s="3"/>
      <c r="P37" s="6"/>
      <c r="Q37" s="6"/>
      <c r="R37" s="6"/>
      <c r="U37" t="s">
        <v>93</v>
      </c>
    </row>
    <row r="38" spans="1:21" x14ac:dyDescent="0.3">
      <c r="A38" s="136"/>
      <c r="C38" s="10"/>
      <c r="D38" s="10"/>
      <c r="E38" s="101"/>
      <c r="F38" s="10"/>
      <c r="G38" s="3"/>
      <c r="H38" s="3"/>
      <c r="P38" s="6"/>
      <c r="Q38" s="6"/>
      <c r="R38" s="6"/>
      <c r="U38" t="s">
        <v>56</v>
      </c>
    </row>
    <row r="39" spans="1:21" x14ac:dyDescent="0.3">
      <c r="G39" s="102"/>
      <c r="H39" s="76"/>
      <c r="P39" s="6"/>
      <c r="Q39" s="6"/>
      <c r="R39" s="6"/>
      <c r="U39" t="s">
        <v>57</v>
      </c>
    </row>
    <row r="40" spans="1:21" x14ac:dyDescent="0.3">
      <c r="G40" s="76"/>
      <c r="H40" s="76"/>
      <c r="P40" s="6"/>
      <c r="Q40" s="6"/>
      <c r="R40" s="6"/>
      <c r="U40" t="s">
        <v>57</v>
      </c>
    </row>
    <row r="41" spans="1:21" x14ac:dyDescent="0.3">
      <c r="G41" s="76"/>
      <c r="H41" s="76"/>
      <c r="P41" s="6"/>
      <c r="Q41" s="6"/>
      <c r="R41" s="6"/>
    </row>
    <row r="42" spans="1:21" x14ac:dyDescent="0.3">
      <c r="B42" s="279"/>
      <c r="C42" s="279"/>
      <c r="D42" s="279"/>
      <c r="E42" s="279"/>
      <c r="F42" s="279"/>
      <c r="G42" s="325"/>
      <c r="H42" s="325"/>
      <c r="I42" s="259"/>
      <c r="P42" s="6"/>
      <c r="Q42" s="6"/>
      <c r="R42" s="6"/>
    </row>
    <row r="43" spans="1:21" x14ac:dyDescent="0.3">
      <c r="B43" s="259"/>
      <c r="C43" s="275"/>
      <c r="D43" s="275"/>
      <c r="E43" s="275"/>
      <c r="F43" s="326"/>
      <c r="G43" s="325"/>
      <c r="H43" s="325"/>
      <c r="I43" s="259"/>
      <c r="P43" s="6"/>
      <c r="Q43" s="6"/>
      <c r="R43" s="6"/>
    </row>
    <row r="44" spans="1:21" x14ac:dyDescent="0.3">
      <c r="B44" s="327"/>
      <c r="C44" s="327"/>
      <c r="D44" s="327"/>
      <c r="E44" s="327"/>
      <c r="F44" s="327"/>
      <c r="G44" s="327"/>
      <c r="H44" s="327"/>
      <c r="I44" s="259"/>
      <c r="P44" s="6"/>
      <c r="Q44" s="6"/>
      <c r="R44" s="6"/>
    </row>
    <row r="45" spans="1:21" x14ac:dyDescent="0.3">
      <c r="B45" s="327"/>
      <c r="C45" s="327"/>
      <c r="D45" s="327"/>
      <c r="E45" s="327"/>
      <c r="F45" s="327"/>
      <c r="G45" s="327"/>
      <c r="H45" s="327"/>
      <c r="I45" s="259"/>
    </row>
    <row r="46" spans="1:21" x14ac:dyDescent="0.3">
      <c r="B46" s="259"/>
      <c r="C46" s="275"/>
      <c r="D46" s="275"/>
      <c r="E46" s="275"/>
      <c r="F46" s="326"/>
      <c r="G46" s="325"/>
      <c r="H46" s="325"/>
      <c r="I46" s="259"/>
    </row>
    <row r="47" spans="1:21" x14ac:dyDescent="0.3">
      <c r="G47" s="76"/>
      <c r="H47" s="76"/>
    </row>
    <row r="48" spans="1:21" x14ac:dyDescent="0.3">
      <c r="O48" s="220" t="s">
        <v>106</v>
      </c>
      <c r="P48" s="220" t="s">
        <v>107</v>
      </c>
      <c r="Q48" s="220" t="s">
        <v>108</v>
      </c>
    </row>
    <row r="49" spans="15:17" x14ac:dyDescent="0.3">
      <c r="O49" t="s">
        <v>103</v>
      </c>
      <c r="P49" s="222">
        <v>1.278902168E-2</v>
      </c>
      <c r="Q49" s="223">
        <f ca="1">(K17-K16)/K16</f>
        <v>-0.36300269109247268</v>
      </c>
    </row>
    <row r="50" spans="15:17" x14ac:dyDescent="0.3">
      <c r="O50" t="s">
        <v>104</v>
      </c>
      <c r="P50" s="222">
        <v>1.998969938E-2</v>
      </c>
      <c r="Q50" s="223">
        <f ca="1">(K18-K16)/K16</f>
        <v>-0.32399466870505855</v>
      </c>
    </row>
    <row r="51" spans="15:17" x14ac:dyDescent="0.3">
      <c r="O51" t="s">
        <v>105</v>
      </c>
      <c r="P51" s="221">
        <v>0.91279996910000005</v>
      </c>
    </row>
  </sheetData>
  <mergeCells count="10">
    <mergeCell ref="J3:M3"/>
    <mergeCell ref="G12:G20"/>
    <mergeCell ref="H12:H20"/>
    <mergeCell ref="G21:G25"/>
    <mergeCell ref="A3:A11"/>
    <mergeCell ref="A12:A20"/>
    <mergeCell ref="A21:A25"/>
    <mergeCell ref="H3:H11"/>
    <mergeCell ref="H21:H25"/>
    <mergeCell ref="G3:G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A6887-96B9-42F3-86A5-2B1EDB121866}">
  <dimension ref="A1:B16"/>
  <sheetViews>
    <sheetView workbookViewId="0">
      <selection activeCell="C2" sqref="C2"/>
    </sheetView>
  </sheetViews>
  <sheetFormatPr defaultRowHeight="14.4" x14ac:dyDescent="0.3"/>
  <cols>
    <col min="1" max="1" width="14.77734375" bestFit="1" customWidth="1"/>
  </cols>
  <sheetData>
    <row r="1" spans="1:2" x14ac:dyDescent="0.3">
      <c r="A1" s="194" t="s">
        <v>91</v>
      </c>
      <c r="B1" s="194" t="s">
        <v>83</v>
      </c>
    </row>
    <row r="2" spans="1:2" x14ac:dyDescent="0.3">
      <c r="A2" t="s">
        <v>88</v>
      </c>
      <c r="B2" s="2">
        <v>46.992856518118245</v>
      </c>
    </row>
    <row r="3" spans="1:2" x14ac:dyDescent="0.3">
      <c r="A3" t="s">
        <v>88</v>
      </c>
      <c r="B3" s="2">
        <v>43.24546996391183</v>
      </c>
    </row>
    <row r="4" spans="1:2" x14ac:dyDescent="0.3">
      <c r="A4" t="s">
        <v>88</v>
      </c>
      <c r="B4" s="2">
        <v>43.97200409176817</v>
      </c>
    </row>
    <row r="5" spans="1:2" x14ac:dyDescent="0.3">
      <c r="A5" t="s">
        <v>88</v>
      </c>
      <c r="B5" s="2">
        <v>40.148140260945297</v>
      </c>
    </row>
    <row r="6" spans="1:2" x14ac:dyDescent="0.3">
      <c r="A6" t="s">
        <v>89</v>
      </c>
      <c r="B6" s="2">
        <v>25.273309959044287</v>
      </c>
    </row>
    <row r="7" spans="1:2" x14ac:dyDescent="0.3">
      <c r="A7" t="s">
        <v>89</v>
      </c>
      <c r="B7" s="2">
        <v>31.812117109751412</v>
      </c>
    </row>
    <row r="8" spans="1:2" x14ac:dyDescent="0.3">
      <c r="A8" t="s">
        <v>89</v>
      </c>
      <c r="B8" s="2">
        <v>36.094844600273042</v>
      </c>
    </row>
    <row r="9" spans="1:2" x14ac:dyDescent="0.3">
      <c r="A9" t="s">
        <v>89</v>
      </c>
      <c r="B9" s="2">
        <v>19.613991489426429</v>
      </c>
    </row>
    <row r="10" spans="1:2" x14ac:dyDescent="0.3">
      <c r="A10" t="s">
        <v>89</v>
      </c>
      <c r="B10" s="2">
        <v>26.038082725208866</v>
      </c>
    </row>
    <row r="11" spans="1:2" x14ac:dyDescent="0.3">
      <c r="A11" t="s">
        <v>90</v>
      </c>
      <c r="B11" s="2">
        <v>24.54677583118794</v>
      </c>
    </row>
    <row r="12" spans="1:2" x14ac:dyDescent="0.3">
      <c r="A12" t="s">
        <v>90</v>
      </c>
      <c r="B12" s="2">
        <v>18.39035506356311</v>
      </c>
    </row>
    <row r="13" spans="1:2" x14ac:dyDescent="0.3">
      <c r="A13" t="s">
        <v>90</v>
      </c>
      <c r="B13">
        <v>24.049673533180965</v>
      </c>
    </row>
    <row r="14" spans="1:2" x14ac:dyDescent="0.3">
      <c r="A14" t="s">
        <v>90</v>
      </c>
      <c r="B14">
        <v>35.13887864256732</v>
      </c>
    </row>
    <row r="15" spans="1:2" x14ac:dyDescent="0.3">
      <c r="A15" t="s">
        <v>90</v>
      </c>
      <c r="B15">
        <v>42.327742644514331</v>
      </c>
    </row>
    <row r="16" spans="1:2" x14ac:dyDescent="0.3">
      <c r="A16" t="s">
        <v>90</v>
      </c>
      <c r="B16">
        <v>32.34745804606662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78AEC-684D-4E52-BFF9-0552352BF827}">
  <sheetPr>
    <tabColor theme="7"/>
  </sheetPr>
  <dimension ref="A1:U53"/>
  <sheetViews>
    <sheetView zoomScale="60" zoomScaleNormal="60" workbookViewId="0">
      <selection activeCell="J3" sqref="J3:J25"/>
    </sheetView>
  </sheetViews>
  <sheetFormatPr defaultColWidth="8.77734375" defaultRowHeight="14.4" x14ac:dyDescent="0.3"/>
  <cols>
    <col min="1" max="1" width="21" bestFit="1" customWidth="1"/>
    <col min="2" max="2" width="14.33203125" bestFit="1" customWidth="1"/>
    <col min="3" max="4" width="12.88671875" bestFit="1" customWidth="1"/>
    <col min="5" max="5" width="8.44140625" style="6" bestFit="1" customWidth="1"/>
    <col min="6" max="6" width="14" bestFit="1" customWidth="1"/>
    <col min="7" max="7" width="21" style="62" bestFit="1" customWidth="1"/>
    <col min="8" max="8" width="28.109375" bestFit="1" customWidth="1"/>
    <col min="9" max="9" width="10.44140625" bestFit="1" customWidth="1"/>
    <col min="10" max="10" width="27.88671875" bestFit="1" customWidth="1"/>
    <col min="11" max="11" width="73.6640625" bestFit="1" customWidth="1"/>
    <col min="12" max="12" width="18.44140625" customWidth="1"/>
    <col min="13" max="13" width="22.109375" bestFit="1" customWidth="1"/>
    <col min="14" max="14" width="30" customWidth="1"/>
    <col min="15" max="15" width="27.109375" bestFit="1" customWidth="1"/>
    <col min="16" max="16" width="20.88671875" bestFit="1" customWidth="1"/>
    <col min="17" max="17" width="12.44140625" customWidth="1"/>
    <col min="24" max="24" width="30.5546875" bestFit="1" customWidth="1"/>
    <col min="25" max="25" width="12" bestFit="1" customWidth="1"/>
    <col min="26" max="26" width="10.88671875" bestFit="1" customWidth="1"/>
  </cols>
  <sheetData>
    <row r="1" spans="1:21" ht="15" thickBot="1" x14ac:dyDescent="0.35">
      <c r="J1" s="266"/>
      <c r="K1" s="266" t="s">
        <v>111</v>
      </c>
    </row>
    <row r="2" spans="1:21" ht="15" thickBot="1" x14ac:dyDescent="0.35">
      <c r="A2" s="138" t="s">
        <v>0</v>
      </c>
      <c r="B2" s="121" t="s">
        <v>1</v>
      </c>
      <c r="C2" s="56" t="s">
        <v>3</v>
      </c>
      <c r="D2" s="58" t="s">
        <v>4</v>
      </c>
      <c r="E2" s="58" t="s">
        <v>119</v>
      </c>
      <c r="F2" s="57" t="s">
        <v>6</v>
      </c>
      <c r="G2" s="123" t="s">
        <v>23</v>
      </c>
      <c r="H2" s="56" t="s">
        <v>39</v>
      </c>
      <c r="I2" s="56" t="s">
        <v>25</v>
      </c>
      <c r="J2" s="159" t="s">
        <v>67</v>
      </c>
      <c r="K2" s="56" t="s">
        <v>117</v>
      </c>
      <c r="L2" s="58" t="s">
        <v>101</v>
      </c>
      <c r="N2" s="16" t="s">
        <v>34</v>
      </c>
      <c r="O2" s="2"/>
      <c r="P2" s="2"/>
      <c r="Q2" s="2"/>
      <c r="R2" s="6"/>
      <c r="S2" s="6"/>
      <c r="T2" s="6"/>
      <c r="U2" s="7"/>
    </row>
    <row r="3" spans="1:21" ht="15" thickBot="1" x14ac:dyDescent="0.35">
      <c r="A3" s="311" t="s">
        <v>89</v>
      </c>
      <c r="B3" s="139">
        <v>1</v>
      </c>
      <c r="C3" s="124">
        <v>0.10609870129870129</v>
      </c>
      <c r="D3" s="124">
        <v>0.1135168831168831</v>
      </c>
      <c r="E3" s="140">
        <f t="shared" ref="E3:E25" si="0">AVERAGE(C3:D3)</f>
        <v>0.10980779220779219</v>
      </c>
      <c r="F3" s="139">
        <f t="shared" ref="F3:F25" si="1">E3-$P$12</f>
        <v>0.10719999999999998</v>
      </c>
      <c r="G3" s="141">
        <f>(F3/($P$13*$P$6))*($P$5/$P$4)</f>
        <v>3.9083333333333326E-5</v>
      </c>
      <c r="H3" s="369">
        <f>G3*10^6</f>
        <v>39.083333333333329</v>
      </c>
      <c r="I3" s="18">
        <f>H3*$P$9</f>
        <v>3908.333333333333</v>
      </c>
      <c r="J3" s="332">
        <f>I3/PROT!G5</f>
        <v>75.003601593995796</v>
      </c>
      <c r="K3" s="242">
        <f>AVERAGE(J3:J11)</f>
        <v>82.343864600785324</v>
      </c>
      <c r="L3" s="245">
        <f>STDEV(J3:J11)</f>
        <v>10.362642060291046</v>
      </c>
      <c r="M3" s="269"/>
      <c r="N3" s="228" t="s">
        <v>47</v>
      </c>
      <c r="O3" s="229"/>
      <c r="P3" s="229"/>
      <c r="Q3" s="230"/>
      <c r="R3" s="81"/>
      <c r="S3" s="81"/>
      <c r="T3" s="6"/>
      <c r="U3" s="6"/>
    </row>
    <row r="4" spans="1:21" x14ac:dyDescent="0.3">
      <c r="A4" s="312"/>
      <c r="B4">
        <v>2</v>
      </c>
      <c r="C4" s="122">
        <v>0.11165194805194804</v>
      </c>
      <c r="D4" s="122">
        <v>0.11553246753246754</v>
      </c>
      <c r="E4" s="6">
        <f t="shared" si="0"/>
        <v>0.1135922077922078</v>
      </c>
      <c r="F4">
        <f t="shared" si="1"/>
        <v>0.11098441558441559</v>
      </c>
      <c r="G4" s="62">
        <f t="shared" ref="G4:G25" si="2">(F4/($P$13*$P$6))*($P$5/$P$4)</f>
        <v>4.0463068181818185E-5</v>
      </c>
      <c r="H4" s="372">
        <f t="shared" ref="H4:H25" si="3">G4*10^6</f>
        <v>40.463068181818187</v>
      </c>
      <c r="I4" s="2">
        <f t="shared" ref="I4:I25" si="4">H4*$P$9</f>
        <v>4046.3068181818189</v>
      </c>
      <c r="J4" s="333">
        <f>I4/PROT!G6</f>
        <v>89.434247283967323</v>
      </c>
      <c r="K4" s="248"/>
      <c r="L4" s="246"/>
      <c r="M4" s="269"/>
      <c r="N4" s="64"/>
      <c r="O4" s="75" t="s">
        <v>35</v>
      </c>
      <c r="P4" s="65">
        <v>100</v>
      </c>
      <c r="Q4" s="66" t="s">
        <v>32</v>
      </c>
      <c r="T4" s="6"/>
      <c r="U4" s="6"/>
    </row>
    <row r="5" spans="1:21" x14ac:dyDescent="0.3">
      <c r="A5" s="312"/>
      <c r="B5">
        <v>3</v>
      </c>
      <c r="C5" s="122">
        <v>0.10787532467532467</v>
      </c>
      <c r="D5" s="122">
        <v>0.11826493506493506</v>
      </c>
      <c r="E5" s="6">
        <f t="shared" si="0"/>
        <v>0.11307012987012986</v>
      </c>
      <c r="F5">
        <f t="shared" si="1"/>
        <v>0.11046233766233765</v>
      </c>
      <c r="G5" s="62">
        <f t="shared" si="2"/>
        <v>4.0272727272727274E-5</v>
      </c>
      <c r="H5" s="372">
        <f t="shared" si="3"/>
        <v>40.272727272727273</v>
      </c>
      <c r="I5" s="2">
        <f t="shared" si="4"/>
        <v>4027.2727272727275</v>
      </c>
      <c r="J5" s="333">
        <f>I5/PROT!G7</f>
        <v>93.835062571891342</v>
      </c>
      <c r="K5" s="248"/>
      <c r="L5" s="246"/>
      <c r="N5" s="67"/>
      <c r="O5" s="73" t="s">
        <v>36</v>
      </c>
      <c r="P5" s="68">
        <v>300</v>
      </c>
      <c r="Q5" s="69" t="s">
        <v>32</v>
      </c>
      <c r="T5" s="6"/>
      <c r="U5" s="6"/>
    </row>
    <row r="6" spans="1:21" ht="15" thickBot="1" x14ac:dyDescent="0.35">
      <c r="A6" s="312"/>
      <c r="B6">
        <v>4</v>
      </c>
      <c r="C6" s="122"/>
      <c r="D6" s="122">
        <v>5.1942857142857138E-2</v>
      </c>
      <c r="E6" s="6">
        <f t="shared" si="0"/>
        <v>5.1942857142857138E-2</v>
      </c>
      <c r="F6">
        <f t="shared" si="1"/>
        <v>4.9335064935064926E-2</v>
      </c>
      <c r="G6" s="62">
        <f t="shared" si="2"/>
        <v>1.7986742424242422E-5</v>
      </c>
      <c r="H6" s="372">
        <f t="shared" si="3"/>
        <v>17.986742424242422</v>
      </c>
      <c r="I6" s="2">
        <f t="shared" si="4"/>
        <v>1798.6742424242423</v>
      </c>
      <c r="J6" s="333"/>
      <c r="K6" s="248"/>
      <c r="L6" s="246"/>
      <c r="N6" s="70"/>
      <c r="O6" s="74" t="s">
        <v>37</v>
      </c>
      <c r="P6" s="79">
        <f>P5/350</f>
        <v>0.8571428571428571</v>
      </c>
      <c r="Q6" s="72" t="s">
        <v>33</v>
      </c>
      <c r="T6" s="6"/>
      <c r="U6" s="6"/>
    </row>
    <row r="7" spans="1:21" x14ac:dyDescent="0.3">
      <c r="A7" s="312"/>
      <c r="B7">
        <v>5</v>
      </c>
      <c r="C7" s="122">
        <v>7.5922077922077918E-2</v>
      </c>
      <c r="D7" s="122">
        <v>8.5470129870129891E-2</v>
      </c>
      <c r="E7" s="6">
        <f t="shared" si="0"/>
        <v>8.0696103896103905E-2</v>
      </c>
      <c r="F7">
        <f t="shared" si="1"/>
        <v>7.8088311688311693E-2</v>
      </c>
      <c r="G7" s="62">
        <f t="shared" si="2"/>
        <v>2.8469696969696971E-5</v>
      </c>
      <c r="H7" s="372">
        <f t="shared" si="3"/>
        <v>28.469696969696972</v>
      </c>
      <c r="I7" s="2">
        <f t="shared" si="4"/>
        <v>2846.9696969696975</v>
      </c>
      <c r="J7" s="333">
        <f>I7/PROT!G9</f>
        <v>63.179296084459132</v>
      </c>
      <c r="K7" s="248"/>
      <c r="L7" s="246"/>
      <c r="T7" s="20"/>
      <c r="U7" s="6"/>
    </row>
    <row r="8" spans="1:21" ht="15" thickBot="1" x14ac:dyDescent="0.35">
      <c r="A8" s="312"/>
      <c r="B8">
        <v>6</v>
      </c>
      <c r="C8" s="122">
        <v>0.10462857142857142</v>
      </c>
      <c r="D8" s="122">
        <v>0.11321558441558442</v>
      </c>
      <c r="E8" s="6">
        <f t="shared" si="0"/>
        <v>0.10892207792207792</v>
      </c>
      <c r="F8">
        <f t="shared" si="1"/>
        <v>0.10631428571428571</v>
      </c>
      <c r="G8" s="62">
        <f t="shared" si="2"/>
        <v>3.8760416666666666E-5</v>
      </c>
      <c r="H8" s="372">
        <f t="shared" si="3"/>
        <v>38.760416666666664</v>
      </c>
      <c r="I8" s="2">
        <f t="shared" si="4"/>
        <v>3876.0416666666665</v>
      </c>
      <c r="J8" s="333">
        <f>I8/PROT!G10</f>
        <v>82.428200597376176</v>
      </c>
      <c r="K8" s="248"/>
      <c r="L8" s="246"/>
      <c r="N8" s="31" t="s">
        <v>116</v>
      </c>
      <c r="R8" s="10"/>
      <c r="S8" s="6"/>
      <c r="T8" s="6"/>
      <c r="U8" s="6"/>
    </row>
    <row r="9" spans="1:21" x14ac:dyDescent="0.3">
      <c r="A9" s="312"/>
      <c r="B9">
        <v>7</v>
      </c>
      <c r="C9" s="122">
        <v>0.10957922077922079</v>
      </c>
      <c r="D9" s="122">
        <v>0.12056623376623377</v>
      </c>
      <c r="E9" s="6">
        <f t="shared" si="0"/>
        <v>0.11507272727272727</v>
      </c>
      <c r="F9">
        <f t="shared" si="1"/>
        <v>0.11246493506493506</v>
      </c>
      <c r="G9" s="62">
        <f t="shared" si="2"/>
        <v>4.1002840909090914E-5</v>
      </c>
      <c r="H9" s="372">
        <f t="shared" si="3"/>
        <v>41.002840909090914</v>
      </c>
      <c r="I9" s="2">
        <f t="shared" si="4"/>
        <v>4100.284090909091</v>
      </c>
      <c r="J9" s="333">
        <f>I9/PROT!G11</f>
        <v>84.016836755407141</v>
      </c>
      <c r="K9" s="248"/>
      <c r="L9" s="246"/>
      <c r="N9" s="8"/>
      <c r="O9" s="22" t="s">
        <v>9</v>
      </c>
      <c r="P9" s="33">
        <v>100</v>
      </c>
      <c r="Q9" s="9" t="s">
        <v>10</v>
      </c>
      <c r="R9" s="6"/>
      <c r="S9" s="6"/>
      <c r="T9" s="6"/>
      <c r="U9" s="6"/>
    </row>
    <row r="10" spans="1:21" ht="14.55" customHeight="1" x14ac:dyDescent="0.3">
      <c r="A10" s="312"/>
      <c r="B10">
        <v>8</v>
      </c>
      <c r="C10" s="122"/>
      <c r="D10" s="122">
        <v>6.1018181818181833E-2</v>
      </c>
      <c r="E10" s="6">
        <f t="shared" si="0"/>
        <v>6.1018181818181833E-2</v>
      </c>
      <c r="F10">
        <f t="shared" si="1"/>
        <v>5.8410389610389621E-2</v>
      </c>
      <c r="G10" s="62">
        <f t="shared" si="2"/>
        <v>2.1295454545454551E-5</v>
      </c>
      <c r="H10" s="372">
        <f t="shared" si="3"/>
        <v>21.29545454545455</v>
      </c>
      <c r="I10" s="2">
        <f t="shared" si="4"/>
        <v>2129.545454545455</v>
      </c>
      <c r="J10" s="333"/>
      <c r="K10" s="248"/>
      <c r="L10" s="246"/>
      <c r="N10" s="11"/>
      <c r="O10" s="28" t="s">
        <v>11</v>
      </c>
      <c r="P10" s="34">
        <v>0.5</v>
      </c>
      <c r="Q10" s="12" t="s">
        <v>12</v>
      </c>
      <c r="R10" s="6"/>
      <c r="S10" s="6"/>
      <c r="T10" s="6"/>
      <c r="U10" s="6"/>
    </row>
    <row r="11" spans="1:21" ht="15" thickBot="1" x14ac:dyDescent="0.35">
      <c r="A11" s="313"/>
      <c r="B11">
        <v>9</v>
      </c>
      <c r="C11" s="122">
        <v>0.10731948051948051</v>
      </c>
      <c r="D11" s="122">
        <v>0.12233246753246754</v>
      </c>
      <c r="E11" s="6">
        <f t="shared" si="0"/>
        <v>0.11482597402597403</v>
      </c>
      <c r="F11">
        <f t="shared" si="1"/>
        <v>0.11221818181818181</v>
      </c>
      <c r="G11" s="62">
        <f t="shared" si="2"/>
        <v>4.0912878787878794E-5</v>
      </c>
      <c r="H11" s="372">
        <f t="shared" si="3"/>
        <v>40.912878787878796</v>
      </c>
      <c r="I11" s="2">
        <f t="shared" si="4"/>
        <v>4091.2878787878794</v>
      </c>
      <c r="J11" s="333">
        <f>I11/PROT!G13</f>
        <v>88.50980731840032</v>
      </c>
      <c r="K11" s="248"/>
      <c r="L11" s="246"/>
      <c r="N11" s="11"/>
      <c r="O11" s="28" t="s">
        <v>13</v>
      </c>
      <c r="P11" s="35">
        <v>1</v>
      </c>
      <c r="Q11" s="12" t="s">
        <v>14</v>
      </c>
      <c r="R11" s="6"/>
      <c r="S11" s="6"/>
      <c r="T11" s="6"/>
      <c r="U11" s="6"/>
    </row>
    <row r="12" spans="1:21" x14ac:dyDescent="0.3">
      <c r="A12" s="308" t="s">
        <v>90</v>
      </c>
      <c r="B12" s="139">
        <v>10</v>
      </c>
      <c r="C12" s="124">
        <v>6.8514285714285708E-2</v>
      </c>
      <c r="D12" s="124">
        <v>7.0306493506493511E-2</v>
      </c>
      <c r="E12" s="140">
        <f t="shared" si="0"/>
        <v>6.9410389610389617E-2</v>
      </c>
      <c r="F12" s="139">
        <f t="shared" si="1"/>
        <v>6.6802597402597405E-2</v>
      </c>
      <c r="G12" s="141">
        <f t="shared" si="2"/>
        <v>2.4355113636363638E-5</v>
      </c>
      <c r="H12" s="369">
        <f t="shared" si="3"/>
        <v>24.355113636363637</v>
      </c>
      <c r="I12" s="18">
        <f t="shared" si="4"/>
        <v>2435.5113636363635</v>
      </c>
      <c r="J12" s="332">
        <f>I12/PROT!G14</f>
        <v>56.508050938358338</v>
      </c>
      <c r="K12" s="242">
        <f>AVERAGE(J12:J20)</f>
        <v>51.790495051818937</v>
      </c>
      <c r="L12" s="245">
        <f>STDEV(J12:J20)</f>
        <v>8.2676162270708602</v>
      </c>
      <c r="N12" s="11"/>
      <c r="O12" s="28" t="s">
        <v>15</v>
      </c>
      <c r="P12" s="36">
        <v>2.6077922077922099E-3</v>
      </c>
      <c r="Q12" s="12" t="s">
        <v>24</v>
      </c>
      <c r="R12" s="6"/>
      <c r="S12" s="6"/>
      <c r="T12" s="6"/>
      <c r="U12" s="6"/>
    </row>
    <row r="13" spans="1:21" ht="16.8" thickBot="1" x14ac:dyDescent="0.35">
      <c r="A13" s="309"/>
      <c r="B13">
        <v>11</v>
      </c>
      <c r="C13" s="122">
        <v>3.5168831168831169E-2</v>
      </c>
      <c r="D13" s="122"/>
      <c r="E13" s="6">
        <f t="shared" si="0"/>
        <v>3.5168831168831169E-2</v>
      </c>
      <c r="F13">
        <f t="shared" si="1"/>
        <v>3.2561038961038957E-2</v>
      </c>
      <c r="G13" s="62">
        <f t="shared" si="2"/>
        <v>1.1871212121212121E-5</v>
      </c>
      <c r="H13" s="372">
        <f t="shared" si="3"/>
        <v>11.871212121212121</v>
      </c>
      <c r="I13" s="2">
        <f t="shared" si="4"/>
        <v>1187.121212121212</v>
      </c>
      <c r="J13" s="333"/>
      <c r="K13" s="248"/>
      <c r="L13" s="246"/>
      <c r="N13" s="13"/>
      <c r="O13" s="14" t="s">
        <v>21</v>
      </c>
      <c r="P13" s="29">
        <v>9600</v>
      </c>
      <c r="Q13" s="30" t="s">
        <v>22</v>
      </c>
      <c r="R13" s="6"/>
      <c r="S13" s="6"/>
      <c r="T13" s="6"/>
      <c r="U13" s="6"/>
    </row>
    <row r="14" spans="1:21" x14ac:dyDescent="0.3">
      <c r="A14" s="309"/>
      <c r="B14">
        <v>12</v>
      </c>
      <c r="C14" s="122">
        <v>5.9963636363636358E-2</v>
      </c>
      <c r="D14" s="122">
        <v>6.2981818181818194E-2</v>
      </c>
      <c r="E14" s="6">
        <f t="shared" si="0"/>
        <v>6.1472727272727276E-2</v>
      </c>
      <c r="F14">
        <f t="shared" si="1"/>
        <v>5.8864935064935064E-2</v>
      </c>
      <c r="G14" s="62">
        <f t="shared" si="2"/>
        <v>2.1461174242424244E-5</v>
      </c>
      <c r="H14" s="372">
        <f t="shared" si="3"/>
        <v>21.461174242424246</v>
      </c>
      <c r="I14" s="2">
        <f t="shared" si="4"/>
        <v>2146.1174242424245</v>
      </c>
      <c r="J14" s="333">
        <f>I14/PROT!G16</f>
        <v>49.7936139980565</v>
      </c>
      <c r="K14" s="248"/>
      <c r="L14" s="246"/>
      <c r="R14" s="6"/>
      <c r="S14" s="6"/>
      <c r="T14" s="6"/>
      <c r="U14" s="6"/>
    </row>
    <row r="15" spans="1:21" ht="15" thickBot="1" x14ac:dyDescent="0.35">
      <c r="A15" s="309"/>
      <c r="B15">
        <v>13</v>
      </c>
      <c r="C15" s="122">
        <v>5.8935064935064937E-2</v>
      </c>
      <c r="D15" s="122">
        <v>6.185974025974026E-2</v>
      </c>
      <c r="E15" s="6">
        <f t="shared" si="0"/>
        <v>6.0397402597402602E-2</v>
      </c>
      <c r="F15">
        <f t="shared" si="1"/>
        <v>5.7789610389610391E-2</v>
      </c>
      <c r="G15" s="62">
        <f t="shared" si="2"/>
        <v>2.106912878787879E-5</v>
      </c>
      <c r="H15" s="372">
        <f t="shared" si="3"/>
        <v>21.069128787878789</v>
      </c>
      <c r="I15" s="2">
        <f t="shared" si="4"/>
        <v>2106.912878787879</v>
      </c>
      <c r="J15" s="333">
        <f>I15/PROT!G17</f>
        <v>46.643328819130957</v>
      </c>
      <c r="K15" s="248"/>
      <c r="L15" s="246"/>
      <c r="N15" s="16" t="s">
        <v>16</v>
      </c>
      <c r="O15" s="2"/>
      <c r="P15" s="2"/>
      <c r="Q15" s="6"/>
      <c r="R15" s="6"/>
      <c r="S15" s="6"/>
      <c r="T15" s="6"/>
      <c r="U15" s="6"/>
    </row>
    <row r="16" spans="1:21" ht="15" thickBot="1" x14ac:dyDescent="0.35">
      <c r="A16" s="309"/>
      <c r="B16">
        <v>14</v>
      </c>
      <c r="C16" s="122">
        <v>8.5174025974025958E-2</v>
      </c>
      <c r="D16" s="122">
        <v>8.7002597402597415E-2</v>
      </c>
      <c r="E16" s="6">
        <f t="shared" si="0"/>
        <v>8.6088311688311686E-2</v>
      </c>
      <c r="F16">
        <f t="shared" si="1"/>
        <v>8.3480519480519474E-2</v>
      </c>
      <c r="G16" s="62">
        <f t="shared" si="2"/>
        <v>3.0435606060606065E-5</v>
      </c>
      <c r="H16" s="372">
        <f t="shared" si="3"/>
        <v>30.435606060606066</v>
      </c>
      <c r="I16" s="2">
        <f t="shared" si="4"/>
        <v>3043.5606060606065</v>
      </c>
      <c r="J16" s="333">
        <f>I16/PROT!G18</f>
        <v>65.843560948370197</v>
      </c>
      <c r="K16" s="248"/>
      <c r="L16" s="246"/>
      <c r="N16" s="37" t="s">
        <v>17</v>
      </c>
      <c r="O16" s="38" t="s">
        <v>118</v>
      </c>
      <c r="P16" s="39" t="s">
        <v>19</v>
      </c>
      <c r="Q16" s="6"/>
      <c r="R16" s="6"/>
      <c r="S16" s="6"/>
      <c r="T16" s="6"/>
      <c r="U16" s="6"/>
    </row>
    <row r="17" spans="1:21" ht="15" thickBot="1" x14ac:dyDescent="0.35">
      <c r="A17" s="309"/>
      <c r="B17">
        <v>15</v>
      </c>
      <c r="C17" s="122">
        <v>3.0342857142857144E-2</v>
      </c>
      <c r="D17" s="122">
        <v>3.4529870129870126E-2</v>
      </c>
      <c r="E17" s="6">
        <f t="shared" si="0"/>
        <v>3.2436363636363638E-2</v>
      </c>
      <c r="F17">
        <f t="shared" si="1"/>
        <v>2.9828571428571427E-2</v>
      </c>
      <c r="G17" s="62">
        <f t="shared" si="2"/>
        <v>1.0875E-5</v>
      </c>
      <c r="H17" s="372">
        <f t="shared" si="3"/>
        <v>10.875</v>
      </c>
      <c r="I17" s="2">
        <f t="shared" si="4"/>
        <v>1087.5</v>
      </c>
      <c r="J17" s="333"/>
      <c r="K17" s="248"/>
      <c r="L17" s="246"/>
      <c r="N17" s="314" t="s">
        <v>88</v>
      </c>
      <c r="O17" s="328">
        <f>K21</f>
        <v>47.106026109432115</v>
      </c>
      <c r="P17" s="17">
        <f>L21</f>
        <v>9.3281356870643961</v>
      </c>
      <c r="S17" s="6"/>
      <c r="T17" s="6"/>
      <c r="U17" s="6"/>
    </row>
    <row r="18" spans="1:21" x14ac:dyDescent="0.3">
      <c r="A18" s="309"/>
      <c r="B18">
        <v>16</v>
      </c>
      <c r="C18" s="122">
        <v>4.7262337662337665E-2</v>
      </c>
      <c r="D18" s="122">
        <v>4.7802597402597409E-2</v>
      </c>
      <c r="E18" s="6">
        <f t="shared" si="0"/>
        <v>4.7532467532467537E-2</v>
      </c>
      <c r="F18">
        <f t="shared" si="1"/>
        <v>4.4924675324675326E-2</v>
      </c>
      <c r="G18" s="62">
        <f t="shared" si="2"/>
        <v>1.6378787878787881E-5</v>
      </c>
      <c r="H18" s="372">
        <f t="shared" si="3"/>
        <v>16.378787878787882</v>
      </c>
      <c r="I18" s="2">
        <f t="shared" si="4"/>
        <v>1637.8787878787882</v>
      </c>
      <c r="J18" s="333">
        <f>I18/PROT!G20</f>
        <v>42.516433011459185</v>
      </c>
      <c r="K18" s="248"/>
      <c r="L18" s="246"/>
      <c r="N18" s="315" t="s">
        <v>89</v>
      </c>
      <c r="O18" s="328">
        <f>K3</f>
        <v>82.343864600785324</v>
      </c>
      <c r="P18" s="17">
        <f>L3</f>
        <v>10.362642060291046</v>
      </c>
      <c r="S18" s="6"/>
      <c r="T18" s="6"/>
      <c r="U18" s="6"/>
    </row>
    <row r="19" spans="1:21" ht="15" thickBot="1" x14ac:dyDescent="0.35">
      <c r="A19" s="309"/>
      <c r="B19">
        <v>17</v>
      </c>
      <c r="C19" s="122">
        <v>0.10717402597402599</v>
      </c>
      <c r="D19" s="122">
        <v>0.11644675324675327</v>
      </c>
      <c r="E19" s="6">
        <f t="shared" si="0"/>
        <v>0.11181038961038964</v>
      </c>
      <c r="F19">
        <f t="shared" si="1"/>
        <v>0.10920259740259743</v>
      </c>
      <c r="G19" s="62">
        <f t="shared" si="2"/>
        <v>3.9813446969696986E-5</v>
      </c>
      <c r="H19" s="372">
        <f t="shared" si="3"/>
        <v>39.813446969696983</v>
      </c>
      <c r="I19" s="2">
        <f t="shared" si="4"/>
        <v>3981.3446969696984</v>
      </c>
      <c r="J19" s="333"/>
      <c r="K19" s="248"/>
      <c r="L19" s="246"/>
      <c r="N19" s="316" t="s">
        <v>90</v>
      </c>
      <c r="O19" s="142">
        <f>K12</f>
        <v>51.790495051818937</v>
      </c>
      <c r="P19" s="26">
        <f>L12</f>
        <v>8.2676162270708602</v>
      </c>
    </row>
    <row r="20" spans="1:21" ht="15" thickBot="1" x14ac:dyDescent="0.35">
      <c r="A20" s="310"/>
      <c r="B20" s="120">
        <v>18</v>
      </c>
      <c r="C20" s="125"/>
      <c r="D20" s="125">
        <v>5.8540259740259733E-2</v>
      </c>
      <c r="E20" s="142">
        <f t="shared" si="0"/>
        <v>5.8540259740259733E-2</v>
      </c>
      <c r="F20" s="120">
        <f t="shared" si="1"/>
        <v>5.5932467532467521E-2</v>
      </c>
      <c r="G20" s="143">
        <f t="shared" si="2"/>
        <v>2.0392045454545452E-5</v>
      </c>
      <c r="H20" s="371">
        <f t="shared" si="3"/>
        <v>20.392045454545453</v>
      </c>
      <c r="I20" s="27">
        <f t="shared" si="4"/>
        <v>2039.2045454545453</v>
      </c>
      <c r="J20" s="334">
        <f>I20/PROT!G22</f>
        <v>49.437982595538408</v>
      </c>
      <c r="K20" s="249"/>
      <c r="L20" s="247"/>
    </row>
    <row r="21" spans="1:21" x14ac:dyDescent="0.3">
      <c r="A21" s="306" t="s">
        <v>88</v>
      </c>
      <c r="B21" s="139">
        <v>19</v>
      </c>
      <c r="C21" s="124"/>
      <c r="D21" s="124">
        <v>3.9885714285714281E-2</v>
      </c>
      <c r="E21" s="140">
        <f t="shared" si="0"/>
        <v>3.9885714285714281E-2</v>
      </c>
      <c r="F21" s="139">
        <f t="shared" si="1"/>
        <v>3.727792207792207E-2</v>
      </c>
      <c r="G21" s="141">
        <f t="shared" si="2"/>
        <v>1.359090909090909E-5</v>
      </c>
      <c r="H21" s="369">
        <f t="shared" si="3"/>
        <v>13.59090909090909</v>
      </c>
      <c r="I21" s="18">
        <f t="shared" si="4"/>
        <v>1359.090909090909</v>
      </c>
      <c r="J21" s="333">
        <f>I21/PROT!G23</f>
        <v>39.528575064468569</v>
      </c>
      <c r="K21" s="242">
        <f>AVERAGE(J21:J25)</f>
        <v>47.106026109432115</v>
      </c>
      <c r="L21" s="245">
        <f>STDEV(J21:J25)</f>
        <v>9.3281356870643961</v>
      </c>
    </row>
    <row r="22" spans="1:21" x14ac:dyDescent="0.3">
      <c r="A22" s="307"/>
      <c r="B22">
        <v>20</v>
      </c>
      <c r="C22" s="122">
        <v>6.234285714285713E-2</v>
      </c>
      <c r="D22" s="122">
        <v>6.4451948051948038E-2</v>
      </c>
      <c r="E22" s="6">
        <f t="shared" si="0"/>
        <v>6.3397402597402591E-2</v>
      </c>
      <c r="F22">
        <f t="shared" si="1"/>
        <v>6.078961038961038E-2</v>
      </c>
      <c r="G22" s="62">
        <f t="shared" si="2"/>
        <v>2.2162878787878786E-5</v>
      </c>
      <c r="H22" s="372">
        <f t="shared" si="3"/>
        <v>22.162878787878785</v>
      </c>
      <c r="I22" s="2">
        <f t="shared" si="4"/>
        <v>2216.2878787878785</v>
      </c>
      <c r="J22" s="333">
        <f>I22/PROT!G24</f>
        <v>49.785325203402799</v>
      </c>
      <c r="K22" s="243"/>
      <c r="L22" s="246"/>
      <c r="N22" s="32"/>
      <c r="O22" s="2"/>
      <c r="P22" s="2"/>
      <c r="Q22" s="2"/>
    </row>
    <row r="23" spans="1:21" x14ac:dyDescent="0.3">
      <c r="A23" s="307"/>
      <c r="B23">
        <v>21</v>
      </c>
      <c r="C23" s="122">
        <v>4.8374025974025979E-2</v>
      </c>
      <c r="D23" s="122">
        <v>5.0425974025974027E-2</v>
      </c>
      <c r="E23" s="6">
        <f t="shared" si="0"/>
        <v>4.9399999999999999E-2</v>
      </c>
      <c r="F23">
        <f t="shared" si="1"/>
        <v>4.6792207792207788E-2</v>
      </c>
      <c r="G23" s="62">
        <f t="shared" si="2"/>
        <v>1.7059659090909092E-5</v>
      </c>
      <c r="H23" s="372">
        <f t="shared" si="3"/>
        <v>17.05965909090909</v>
      </c>
      <c r="I23" s="2">
        <f t="shared" si="4"/>
        <v>1705.965909090909</v>
      </c>
      <c r="J23" s="333">
        <f>I23/PROT!G25</f>
        <v>39.951717474605694</v>
      </c>
      <c r="K23" s="243"/>
      <c r="L23" s="246"/>
      <c r="O23" s="2"/>
      <c r="P23" s="2"/>
      <c r="Q23" s="2"/>
      <c r="R23" s="6"/>
    </row>
    <row r="24" spans="1:21" x14ac:dyDescent="0.3">
      <c r="A24" s="307"/>
      <c r="B24">
        <v>22</v>
      </c>
      <c r="C24" s="122">
        <v>7.3002597402597402E-2</v>
      </c>
      <c r="D24" s="122">
        <v>7.6800000000000007E-2</v>
      </c>
      <c r="E24" s="6">
        <f t="shared" si="0"/>
        <v>7.4901298701298705E-2</v>
      </c>
      <c r="F24">
        <f t="shared" si="1"/>
        <v>7.2293506493506493E-2</v>
      </c>
      <c r="G24" s="62">
        <f t="shared" si="2"/>
        <v>2.6357007575757579E-5</v>
      </c>
      <c r="H24" s="372">
        <f t="shared" si="3"/>
        <v>26.357007575757578</v>
      </c>
      <c r="I24" s="2">
        <f t="shared" si="4"/>
        <v>2635.700757575758</v>
      </c>
      <c r="J24" s="333">
        <f>I24/PROT!G26</f>
        <v>59.158486695251419</v>
      </c>
      <c r="K24" s="243"/>
      <c r="L24" s="246"/>
      <c r="R24" s="6"/>
    </row>
    <row r="25" spans="1:21" ht="15" thickBot="1" x14ac:dyDescent="0.35">
      <c r="A25" s="318"/>
      <c r="B25" s="120">
        <v>23</v>
      </c>
      <c r="C25" s="125">
        <v>0.10581818181818181</v>
      </c>
      <c r="D25" s="125"/>
      <c r="E25" s="142">
        <f t="shared" si="0"/>
        <v>0.10581818181818181</v>
      </c>
      <c r="F25" s="120">
        <f t="shared" si="1"/>
        <v>0.1032103896103896</v>
      </c>
      <c r="G25" s="143">
        <f t="shared" si="2"/>
        <v>3.7628787878787879E-5</v>
      </c>
      <c r="H25" s="371">
        <f t="shared" si="3"/>
        <v>37.628787878787882</v>
      </c>
      <c r="I25" s="27">
        <f t="shared" si="4"/>
        <v>3762.8787878787884</v>
      </c>
      <c r="J25" s="334"/>
      <c r="K25" s="244"/>
      <c r="L25" s="247"/>
      <c r="R25" s="6"/>
      <c r="S25" t="s">
        <v>93</v>
      </c>
    </row>
    <row r="26" spans="1:21" x14ac:dyDescent="0.3">
      <c r="A26" s="136"/>
      <c r="H26" s="137"/>
      <c r="I26" s="6"/>
      <c r="J26" s="3"/>
      <c r="K26" s="3"/>
      <c r="L26" s="3"/>
      <c r="R26" s="6"/>
      <c r="S26" t="s">
        <v>56</v>
      </c>
    </row>
    <row r="27" spans="1:21" x14ac:dyDescent="0.3">
      <c r="A27" s="136"/>
      <c r="H27" s="137"/>
      <c r="I27" s="6"/>
      <c r="J27" s="3"/>
      <c r="K27" s="3"/>
      <c r="L27" s="3"/>
      <c r="R27" s="6"/>
      <c r="S27" t="s">
        <v>57</v>
      </c>
    </row>
    <row r="28" spans="1:21" x14ac:dyDescent="0.3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3"/>
      <c r="N28" s="2"/>
      <c r="P28" s="6"/>
      <c r="Q28" s="6"/>
      <c r="R28" s="6"/>
      <c r="S28" t="s">
        <v>56</v>
      </c>
    </row>
    <row r="29" spans="1:21" x14ac:dyDescent="0.3">
      <c r="A29" s="136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3"/>
      <c r="Q29" s="6"/>
      <c r="R29" s="6"/>
    </row>
    <row r="30" spans="1:21" x14ac:dyDescent="0.3">
      <c r="A30" s="136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76"/>
      <c r="Q30" s="6" t="s">
        <v>2</v>
      </c>
      <c r="R30" s="6"/>
    </row>
    <row r="31" spans="1:21" x14ac:dyDescent="0.3">
      <c r="A31" s="136"/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76"/>
      <c r="Q31" s="6"/>
    </row>
    <row r="32" spans="1:21" x14ac:dyDescent="0.3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76"/>
      <c r="Q32" s="6"/>
    </row>
    <row r="33" spans="1:17" x14ac:dyDescent="0.3">
      <c r="A33" s="136"/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76"/>
      <c r="Q33" s="6"/>
    </row>
    <row r="34" spans="1:17" x14ac:dyDescent="0.3">
      <c r="A34" s="136"/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76"/>
      <c r="Q34" s="6"/>
    </row>
    <row r="35" spans="1:17" x14ac:dyDescent="0.3">
      <c r="A35" s="136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76"/>
    </row>
    <row r="36" spans="1:17" x14ac:dyDescent="0.3">
      <c r="A36" s="136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76"/>
    </row>
    <row r="37" spans="1:17" x14ac:dyDescent="0.3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76"/>
    </row>
    <row r="38" spans="1:17" x14ac:dyDescent="0.3">
      <c r="A38" s="136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76"/>
      <c r="N38" s="220" t="s">
        <v>106</v>
      </c>
      <c r="O38" s="220" t="s">
        <v>107</v>
      </c>
      <c r="P38" s="220" t="s">
        <v>108</v>
      </c>
    </row>
    <row r="39" spans="1:17" x14ac:dyDescent="0.3">
      <c r="A39" s="136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3"/>
      <c r="N39" t="s">
        <v>103</v>
      </c>
      <c r="O39" s="222">
        <v>1.0000000000000001E-15</v>
      </c>
      <c r="P39" s="223">
        <f>(O18-O17)/O17</f>
        <v>0.74805372903866074</v>
      </c>
    </row>
    <row r="40" spans="1:17" x14ac:dyDescent="0.3">
      <c r="A40" s="136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3"/>
      <c r="N40" t="s">
        <v>104</v>
      </c>
      <c r="O40" s="221">
        <v>0.72747389620000003</v>
      </c>
    </row>
    <row r="41" spans="1:17" x14ac:dyDescent="0.3">
      <c r="A41" s="136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3"/>
      <c r="N41" t="s">
        <v>105</v>
      </c>
      <c r="O41" s="221">
        <v>1.238165925E-4</v>
      </c>
    </row>
    <row r="46" spans="1:17" x14ac:dyDescent="0.3">
      <c r="C46" s="335"/>
      <c r="D46" s="336"/>
      <c r="E46" s="336"/>
      <c r="F46" s="336"/>
      <c r="G46" s="336"/>
      <c r="H46" s="336"/>
      <c r="I46" s="336"/>
      <c r="J46" s="336"/>
      <c r="K46" s="336"/>
      <c r="L46" s="336"/>
      <c r="M46" s="259"/>
    </row>
    <row r="47" spans="1:17" x14ac:dyDescent="0.3">
      <c r="C47" s="336"/>
      <c r="D47" s="337"/>
      <c r="E47" s="337"/>
      <c r="F47" s="337"/>
      <c r="G47" s="337"/>
      <c r="H47" s="337"/>
      <c r="I47" s="337"/>
      <c r="J47" s="337"/>
      <c r="K47" s="337"/>
      <c r="L47" s="337"/>
      <c r="M47" s="338"/>
    </row>
    <row r="48" spans="1:17" x14ac:dyDescent="0.3">
      <c r="C48" s="336"/>
      <c r="D48" s="337"/>
      <c r="E48" s="337"/>
      <c r="F48" s="337"/>
      <c r="G48" s="337"/>
      <c r="H48" s="337"/>
      <c r="I48" s="337"/>
      <c r="J48" s="337"/>
      <c r="K48" s="337"/>
      <c r="L48" s="337"/>
      <c r="M48" s="338"/>
    </row>
    <row r="49" spans="3:13" x14ac:dyDescent="0.3">
      <c r="C49" s="336"/>
      <c r="D49" s="337"/>
      <c r="E49" s="337"/>
      <c r="F49" s="337"/>
      <c r="G49" s="337"/>
      <c r="H49" s="337"/>
      <c r="I49" s="337"/>
      <c r="J49" s="337"/>
      <c r="K49" s="337"/>
      <c r="L49" s="337"/>
      <c r="M49" s="338"/>
    </row>
    <row r="50" spans="3:13" x14ac:dyDescent="0.3">
      <c r="C50" s="336"/>
      <c r="D50" s="337"/>
      <c r="E50" s="337"/>
      <c r="F50" s="337"/>
      <c r="G50" s="337"/>
      <c r="H50" s="337"/>
      <c r="I50" s="337"/>
      <c r="J50" s="337"/>
      <c r="K50" s="337"/>
      <c r="L50" s="337"/>
      <c r="M50" s="338"/>
    </row>
    <row r="51" spans="3:13" x14ac:dyDescent="0.3">
      <c r="C51" s="259"/>
      <c r="D51" s="259"/>
      <c r="E51" s="339"/>
      <c r="F51" s="259"/>
      <c r="G51" s="340"/>
      <c r="H51" s="259"/>
      <c r="I51" s="259"/>
      <c r="J51" s="259"/>
      <c r="K51" s="259"/>
      <c r="L51" s="259"/>
      <c r="M51" s="259"/>
    </row>
    <row r="52" spans="3:13" x14ac:dyDescent="0.3">
      <c r="C52" s="259"/>
      <c r="D52" s="259"/>
      <c r="E52" s="339"/>
      <c r="F52" s="259"/>
      <c r="G52" s="340"/>
      <c r="H52" s="259"/>
      <c r="I52" s="259"/>
      <c r="J52" s="259"/>
      <c r="K52" s="259"/>
      <c r="L52" s="259"/>
      <c r="M52" s="259"/>
    </row>
    <row r="53" spans="3:13" x14ac:dyDescent="0.3">
      <c r="C53" s="259"/>
      <c r="D53" s="259"/>
      <c r="E53" s="339"/>
      <c r="F53" s="259"/>
      <c r="G53" s="340"/>
      <c r="H53" s="259"/>
      <c r="I53" s="259"/>
      <c r="J53" s="259"/>
      <c r="K53" s="259"/>
      <c r="L53" s="259"/>
      <c r="M53" s="259"/>
    </row>
  </sheetData>
  <mergeCells count="10">
    <mergeCell ref="A21:A25"/>
    <mergeCell ref="N3:Q3"/>
    <mergeCell ref="A3:A11"/>
    <mergeCell ref="A12:A20"/>
    <mergeCell ref="K3:K11"/>
    <mergeCell ref="L3:L11"/>
    <mergeCell ref="K12:K20"/>
    <mergeCell ref="L12:L20"/>
    <mergeCell ref="K21:K25"/>
    <mergeCell ref="L21:L2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3E1A1-A332-452A-9301-29F20AFB7A33}">
  <dimension ref="A1:B18"/>
  <sheetViews>
    <sheetView workbookViewId="0">
      <selection activeCell="F19" sqref="F19"/>
    </sheetView>
  </sheetViews>
  <sheetFormatPr defaultRowHeight="14.4" x14ac:dyDescent="0.3"/>
  <cols>
    <col min="1" max="1" width="14.77734375" bestFit="1" customWidth="1"/>
  </cols>
  <sheetData>
    <row r="1" spans="1:2" x14ac:dyDescent="0.3">
      <c r="A1" s="194" t="s">
        <v>91</v>
      </c>
      <c r="B1" s="194" t="s">
        <v>85</v>
      </c>
    </row>
    <row r="2" spans="1:2" x14ac:dyDescent="0.3">
      <c r="A2" t="s">
        <v>88</v>
      </c>
      <c r="B2" s="2">
        <v>39.528575064468569</v>
      </c>
    </row>
    <row r="3" spans="1:2" x14ac:dyDescent="0.3">
      <c r="A3" t="s">
        <v>88</v>
      </c>
      <c r="B3" s="2">
        <v>49.785325203402799</v>
      </c>
    </row>
    <row r="4" spans="1:2" x14ac:dyDescent="0.3">
      <c r="A4" t="s">
        <v>88</v>
      </c>
      <c r="B4" s="2">
        <v>39.951717474605694</v>
      </c>
    </row>
    <row r="5" spans="1:2" x14ac:dyDescent="0.3">
      <c r="A5" t="s">
        <v>88</v>
      </c>
      <c r="B5" s="2">
        <v>59.158486695251419</v>
      </c>
    </row>
    <row r="6" spans="1:2" x14ac:dyDescent="0.3">
      <c r="A6" t="s">
        <v>89</v>
      </c>
      <c r="B6" s="2">
        <v>75.003601593995796</v>
      </c>
    </row>
    <row r="7" spans="1:2" x14ac:dyDescent="0.3">
      <c r="A7" t="s">
        <v>89</v>
      </c>
      <c r="B7" s="2">
        <v>89.434247283967323</v>
      </c>
    </row>
    <row r="8" spans="1:2" x14ac:dyDescent="0.3">
      <c r="A8" t="s">
        <v>89</v>
      </c>
      <c r="B8" s="2">
        <v>93.835062571891342</v>
      </c>
    </row>
    <row r="9" spans="1:2" x14ac:dyDescent="0.3">
      <c r="A9" t="s">
        <v>89</v>
      </c>
      <c r="B9" s="2">
        <v>63.179296084459132</v>
      </c>
    </row>
    <row r="10" spans="1:2" x14ac:dyDescent="0.3">
      <c r="A10" t="s">
        <v>89</v>
      </c>
      <c r="B10" s="2">
        <v>82.428200597376176</v>
      </c>
    </row>
    <row r="11" spans="1:2" x14ac:dyDescent="0.3">
      <c r="A11" t="s">
        <v>89</v>
      </c>
      <c r="B11" s="2">
        <v>84.016836755407141</v>
      </c>
    </row>
    <row r="12" spans="1:2" x14ac:dyDescent="0.3">
      <c r="A12" t="s">
        <v>89</v>
      </c>
      <c r="B12" s="2">
        <v>88.50980731840032</v>
      </c>
    </row>
    <row r="13" spans="1:2" x14ac:dyDescent="0.3">
      <c r="A13" t="s">
        <v>90</v>
      </c>
      <c r="B13" s="2">
        <v>56.508050938358338</v>
      </c>
    </row>
    <row r="14" spans="1:2" x14ac:dyDescent="0.3">
      <c r="A14" t="s">
        <v>90</v>
      </c>
      <c r="B14">
        <v>49.7936139980565</v>
      </c>
    </row>
    <row r="15" spans="1:2" x14ac:dyDescent="0.3">
      <c r="A15" t="s">
        <v>90</v>
      </c>
      <c r="B15">
        <v>46.643328819130957</v>
      </c>
    </row>
    <row r="16" spans="1:2" x14ac:dyDescent="0.3">
      <c r="A16" t="s">
        <v>90</v>
      </c>
      <c r="B16">
        <v>65.843560948370197</v>
      </c>
    </row>
    <row r="17" spans="1:2" x14ac:dyDescent="0.3">
      <c r="A17" t="s">
        <v>90</v>
      </c>
      <c r="B17">
        <v>42.516433011459185</v>
      </c>
    </row>
    <row r="18" spans="1:2" x14ac:dyDescent="0.3">
      <c r="A18" t="s">
        <v>90</v>
      </c>
      <c r="B18">
        <v>49.437982595538408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A19CA-5DF6-4B52-9FA7-B8DB1791F0CD}">
  <sheetPr>
    <tabColor theme="7"/>
  </sheetPr>
  <dimension ref="A1:U50"/>
  <sheetViews>
    <sheetView zoomScale="70" zoomScaleNormal="70" workbookViewId="0">
      <selection activeCell="J3" sqref="J3"/>
    </sheetView>
  </sheetViews>
  <sheetFormatPr defaultColWidth="8.77734375" defaultRowHeight="14.4" x14ac:dyDescent="0.3"/>
  <cols>
    <col min="1" max="1" width="16.33203125" bestFit="1" customWidth="1"/>
    <col min="2" max="4" width="11.5546875" bestFit="1" customWidth="1"/>
    <col min="5" max="5" width="7.77734375" style="6" customWidth="1"/>
    <col min="6" max="6" width="11.44140625" customWidth="1"/>
    <col min="7" max="7" width="15.77734375" customWidth="1"/>
    <col min="8" max="8" width="21.6640625" bestFit="1" customWidth="1"/>
    <col min="9" max="9" width="12.44140625" bestFit="1" customWidth="1"/>
    <col min="10" max="10" width="19" bestFit="1" customWidth="1"/>
    <col min="11" max="11" width="53.6640625" bestFit="1" customWidth="1"/>
    <col min="12" max="12" width="12.44140625" bestFit="1" customWidth="1"/>
    <col min="13" max="13" width="20.88671875" bestFit="1" customWidth="1"/>
    <col min="14" max="14" width="20" customWidth="1"/>
    <col min="15" max="15" width="23.109375" customWidth="1"/>
    <col min="16" max="16" width="20.44140625" customWidth="1"/>
    <col min="17" max="17" width="11.33203125" bestFit="1" customWidth="1"/>
    <col min="19" max="19" width="14.77734375" customWidth="1"/>
    <col min="23" max="23" width="28" bestFit="1" customWidth="1"/>
    <col min="24" max="24" width="12" bestFit="1" customWidth="1"/>
    <col min="25" max="25" width="10.88671875" bestFit="1" customWidth="1"/>
  </cols>
  <sheetData>
    <row r="1" spans="1:21" ht="15" thickBot="1" x14ac:dyDescent="0.35">
      <c r="J1" s="266"/>
      <c r="K1" s="266" t="s">
        <v>112</v>
      </c>
    </row>
    <row r="2" spans="1:21" ht="15" thickBot="1" x14ac:dyDescent="0.35">
      <c r="A2" s="59" t="s">
        <v>0</v>
      </c>
      <c r="B2" s="121" t="s">
        <v>1</v>
      </c>
      <c r="C2" s="56" t="s">
        <v>3</v>
      </c>
      <c r="D2" s="58" t="s">
        <v>4</v>
      </c>
      <c r="E2" s="58" t="s">
        <v>119</v>
      </c>
      <c r="F2" s="57" t="s">
        <v>6</v>
      </c>
      <c r="G2" s="123" t="s">
        <v>23</v>
      </c>
      <c r="H2" s="56" t="s">
        <v>39</v>
      </c>
      <c r="I2" s="195" t="s">
        <v>25</v>
      </c>
      <c r="J2" s="56" t="s">
        <v>67</v>
      </c>
      <c r="K2" s="58" t="s">
        <v>117</v>
      </c>
      <c r="L2" s="58" t="s">
        <v>101</v>
      </c>
      <c r="N2" s="16" t="s">
        <v>34</v>
      </c>
      <c r="O2" s="2"/>
      <c r="P2" s="2"/>
      <c r="Q2" s="2"/>
      <c r="R2" s="6"/>
      <c r="S2" s="6"/>
      <c r="T2" s="6"/>
      <c r="U2" s="7"/>
    </row>
    <row r="3" spans="1:21" ht="15" thickBot="1" x14ac:dyDescent="0.35">
      <c r="A3" s="311" t="s">
        <v>89</v>
      </c>
      <c r="B3" s="179">
        <v>1</v>
      </c>
      <c r="C3" s="168"/>
      <c r="D3" s="168">
        <v>0.46400000000000041</v>
      </c>
      <c r="E3" s="140">
        <f t="shared" ref="E3:E25" si="0">AVERAGE(C3:D3)</f>
        <v>0.46400000000000041</v>
      </c>
      <c r="F3" s="139">
        <f t="shared" ref="F3:F25" si="1">E3-$P$12</f>
        <v>0.45320000000000044</v>
      </c>
      <c r="G3" s="141">
        <f t="shared" ref="G3:G25" si="2">(F3/($P$6*($P$13)))*(1/($P$4/$P$5))</f>
        <v>4.4061111111111156E-4</v>
      </c>
      <c r="H3" s="369">
        <f>G3*10^6</f>
        <v>440.61111111111154</v>
      </c>
      <c r="I3" s="18">
        <f t="shared" ref="I3:I25" si="3">H3*$P$9</f>
        <v>22030.555555555577</v>
      </c>
      <c r="J3" s="196">
        <f>I3/PROT!G5</f>
        <v>422.78149555222546</v>
      </c>
      <c r="K3" s="236">
        <f>AVERAGE(J3:J11)</f>
        <v>363.72925444731453</v>
      </c>
      <c r="L3" s="239">
        <f>STDEV(J3:J11)</f>
        <v>73.789308375418898</v>
      </c>
      <c r="M3" s="269"/>
      <c r="N3" s="228" t="s">
        <v>31</v>
      </c>
      <c r="O3" s="229"/>
      <c r="P3" s="229"/>
      <c r="Q3" s="229"/>
      <c r="R3" s="229"/>
      <c r="S3" s="230"/>
      <c r="T3" s="6"/>
      <c r="U3" s="6"/>
    </row>
    <row r="4" spans="1:21" x14ac:dyDescent="0.3">
      <c r="A4" s="312"/>
      <c r="B4" s="180">
        <v>2</v>
      </c>
      <c r="C4" s="343">
        <v>0.45560000000000012</v>
      </c>
      <c r="D4" s="343">
        <v>0.47479999999999994</v>
      </c>
      <c r="E4" s="328">
        <f t="shared" si="0"/>
        <v>0.46520000000000006</v>
      </c>
      <c r="F4" s="255">
        <f t="shared" si="1"/>
        <v>0.45440000000000008</v>
      </c>
      <c r="G4" s="344">
        <f t="shared" si="2"/>
        <v>4.4177777777777781E-4</v>
      </c>
      <c r="H4" s="370">
        <f t="shared" ref="H4:H25" si="4">G4*10^6</f>
        <v>441.77777777777783</v>
      </c>
      <c r="I4" s="256">
        <f t="shared" si="3"/>
        <v>22088.888888888891</v>
      </c>
      <c r="J4" s="333">
        <f>I4/PROT!G6</f>
        <v>488.22376549404783</v>
      </c>
      <c r="K4" s="345"/>
      <c r="L4" s="240"/>
      <c r="M4" s="269"/>
      <c r="N4" s="64"/>
      <c r="O4" s="75" t="s">
        <v>35</v>
      </c>
      <c r="P4" s="65">
        <v>20</v>
      </c>
      <c r="Q4" s="65" t="s">
        <v>32</v>
      </c>
      <c r="R4" s="65"/>
      <c r="S4" s="66"/>
    </row>
    <row r="5" spans="1:21" x14ac:dyDescent="0.3">
      <c r="A5" s="312"/>
      <c r="B5" s="180">
        <v>3</v>
      </c>
      <c r="C5" s="343">
        <v>0.2785662337662338</v>
      </c>
      <c r="D5" s="343">
        <v>0.28303896103896098</v>
      </c>
      <c r="E5" s="328">
        <f t="shared" si="0"/>
        <v>0.28080259740259739</v>
      </c>
      <c r="F5" s="255">
        <f t="shared" si="1"/>
        <v>0.27000259740259741</v>
      </c>
      <c r="G5" s="344">
        <f t="shared" si="2"/>
        <v>2.6250252525252525E-4</v>
      </c>
      <c r="H5" s="370">
        <f t="shared" si="4"/>
        <v>262.50252525252523</v>
      </c>
      <c r="I5" s="256">
        <f t="shared" si="3"/>
        <v>13125.126262626261</v>
      </c>
      <c r="J5" s="333">
        <f>I5/PROT!G7</f>
        <v>305.81416445355768</v>
      </c>
      <c r="K5" s="345"/>
      <c r="L5" s="240"/>
      <c r="N5" s="67"/>
      <c r="O5" s="73" t="s">
        <v>36</v>
      </c>
      <c r="P5" s="68">
        <v>250</v>
      </c>
      <c r="Q5" s="68" t="s">
        <v>32</v>
      </c>
      <c r="R5" s="68"/>
      <c r="S5" s="69"/>
    </row>
    <row r="6" spans="1:21" ht="15" thickBot="1" x14ac:dyDescent="0.35">
      <c r="A6" s="312"/>
      <c r="B6" s="180">
        <v>4</v>
      </c>
      <c r="C6" s="343">
        <v>0.26170389610389611</v>
      </c>
      <c r="D6" s="343">
        <v>0.26726753246753249</v>
      </c>
      <c r="E6" s="328">
        <f t="shared" si="0"/>
        <v>0.26448571428571432</v>
      </c>
      <c r="F6" s="255">
        <f t="shared" si="1"/>
        <v>0.25368571428571435</v>
      </c>
      <c r="G6" s="344">
        <f t="shared" si="2"/>
        <v>2.4663888888888896E-4</v>
      </c>
      <c r="H6" s="370">
        <f t="shared" si="4"/>
        <v>246.63888888888897</v>
      </c>
      <c r="I6" s="256">
        <f t="shared" si="3"/>
        <v>12331.944444444449</v>
      </c>
      <c r="J6" s="333">
        <f>I6/PROT!G8</f>
        <v>301.09390320212469</v>
      </c>
      <c r="K6" s="345"/>
      <c r="L6" s="240"/>
      <c r="N6" s="70"/>
      <c r="O6" s="74" t="s">
        <v>37</v>
      </c>
      <c r="P6" s="79">
        <f>P5/350</f>
        <v>0.7142857142857143</v>
      </c>
      <c r="Q6" s="71" t="s">
        <v>33</v>
      </c>
      <c r="R6" s="71"/>
      <c r="S6" s="72"/>
    </row>
    <row r="7" spans="1:21" x14ac:dyDescent="0.3">
      <c r="A7" s="312"/>
      <c r="B7" s="180">
        <v>5</v>
      </c>
      <c r="C7" s="343">
        <v>0.36247272727272734</v>
      </c>
      <c r="D7" s="343">
        <v>0.36698901098901099</v>
      </c>
      <c r="E7" s="328">
        <f t="shared" si="0"/>
        <v>0.36473086913086916</v>
      </c>
      <c r="F7" s="255">
        <f t="shared" si="1"/>
        <v>0.35393086913086919</v>
      </c>
      <c r="G7" s="344">
        <f t="shared" si="2"/>
        <v>3.4409945609945616E-4</v>
      </c>
      <c r="H7" s="370">
        <f t="shared" si="4"/>
        <v>344.09945609945618</v>
      </c>
      <c r="I7" s="256">
        <f t="shared" si="3"/>
        <v>17204.972804972807</v>
      </c>
      <c r="J7" s="333">
        <f>I7/PROT!G9</f>
        <v>381.80879555108737</v>
      </c>
      <c r="K7" s="345"/>
      <c r="L7" s="240"/>
    </row>
    <row r="8" spans="1:21" ht="15" thickBot="1" x14ac:dyDescent="0.35">
      <c r="A8" s="312"/>
      <c r="B8" s="180">
        <v>6</v>
      </c>
      <c r="C8" s="343">
        <v>0.40939999999999999</v>
      </c>
      <c r="D8" s="343">
        <v>0.41053333333333331</v>
      </c>
      <c r="E8" s="328">
        <f t="shared" si="0"/>
        <v>0.40996666666666665</v>
      </c>
      <c r="F8" s="255">
        <f t="shared" si="1"/>
        <v>0.39916666666666667</v>
      </c>
      <c r="G8" s="344">
        <f t="shared" si="2"/>
        <v>3.8807870370370369E-4</v>
      </c>
      <c r="H8" s="370">
        <f t="shared" si="4"/>
        <v>388.0787037037037</v>
      </c>
      <c r="I8" s="256">
        <f t="shared" si="3"/>
        <v>19403.935185185186</v>
      </c>
      <c r="J8" s="333">
        <f>I8/PROT!G10</f>
        <v>412.64558004569017</v>
      </c>
      <c r="K8" s="345"/>
      <c r="L8" s="240"/>
      <c r="N8" s="31" t="s">
        <v>116</v>
      </c>
      <c r="R8" s="10"/>
    </row>
    <row r="9" spans="1:21" x14ac:dyDescent="0.3">
      <c r="A9" s="312"/>
      <c r="B9" s="180">
        <v>7</v>
      </c>
      <c r="C9" s="343"/>
      <c r="D9" s="343"/>
      <c r="E9" s="328"/>
      <c r="F9" s="255"/>
      <c r="G9" s="344"/>
      <c r="H9" s="370"/>
      <c r="I9" s="256"/>
      <c r="J9" s="333"/>
      <c r="K9" s="345"/>
      <c r="L9" s="240"/>
      <c r="N9" s="8"/>
      <c r="O9" s="22" t="s">
        <v>9</v>
      </c>
      <c r="P9" s="33">
        <v>50</v>
      </c>
      <c r="Q9" s="9" t="s">
        <v>10</v>
      </c>
      <c r="R9" s="10"/>
    </row>
    <row r="10" spans="1:21" ht="14.55" customHeight="1" x14ac:dyDescent="0.3">
      <c r="A10" s="312"/>
      <c r="B10" s="180">
        <v>8</v>
      </c>
      <c r="C10" s="343">
        <v>0.26512207792207787</v>
      </c>
      <c r="D10" s="343">
        <v>0.26854545454545459</v>
      </c>
      <c r="E10" s="328">
        <f t="shared" si="0"/>
        <v>0.2668337662337662</v>
      </c>
      <c r="F10" s="255">
        <f t="shared" si="1"/>
        <v>0.25603376623376622</v>
      </c>
      <c r="G10" s="344">
        <f t="shared" si="2"/>
        <v>2.4892171717171718E-4</v>
      </c>
      <c r="H10" s="370">
        <f t="shared" si="4"/>
        <v>248.92171717171718</v>
      </c>
      <c r="I10" s="256">
        <f t="shared" si="3"/>
        <v>12446.085858585859</v>
      </c>
      <c r="J10" s="333">
        <f>I10/PROT!G12</f>
        <v>280.26726406843784</v>
      </c>
      <c r="K10" s="345"/>
      <c r="L10" s="240"/>
      <c r="N10" s="11"/>
      <c r="O10" s="28" t="s">
        <v>11</v>
      </c>
      <c r="P10" s="34">
        <v>0.5</v>
      </c>
      <c r="Q10" s="12" t="s">
        <v>12</v>
      </c>
      <c r="R10" s="10"/>
    </row>
    <row r="11" spans="1:21" ht="15" thickBot="1" x14ac:dyDescent="0.35">
      <c r="A11" s="313"/>
      <c r="B11" s="180">
        <v>9</v>
      </c>
      <c r="C11" s="343">
        <v>0.30744415584415585</v>
      </c>
      <c r="D11" s="343">
        <v>0.31740259740259746</v>
      </c>
      <c r="E11" s="328">
        <f t="shared" si="0"/>
        <v>0.31242337662337666</v>
      </c>
      <c r="F11" s="255">
        <f t="shared" si="1"/>
        <v>0.30162337662337668</v>
      </c>
      <c r="G11" s="344">
        <f t="shared" si="2"/>
        <v>2.9324494949494953E-4</v>
      </c>
      <c r="H11" s="370">
        <f t="shared" si="4"/>
        <v>293.24494949494954</v>
      </c>
      <c r="I11" s="256">
        <f t="shared" si="3"/>
        <v>14662.247474747477</v>
      </c>
      <c r="J11" s="333">
        <f>I11/PROT!G13</f>
        <v>317.19906721134578</v>
      </c>
      <c r="K11" s="345"/>
      <c r="L11" s="240"/>
      <c r="N11" s="11"/>
      <c r="O11" s="28" t="s">
        <v>13</v>
      </c>
      <c r="P11" s="35">
        <v>1</v>
      </c>
      <c r="Q11" s="12" t="s">
        <v>14</v>
      </c>
      <c r="R11" s="15"/>
    </row>
    <row r="12" spans="1:21" x14ac:dyDescent="0.3">
      <c r="A12" s="308" t="s">
        <v>90</v>
      </c>
      <c r="B12" s="139">
        <v>10</v>
      </c>
      <c r="C12" s="168">
        <v>0.22933506493506492</v>
      </c>
      <c r="D12" s="168">
        <v>0.24078961038961041</v>
      </c>
      <c r="E12" s="140">
        <f t="shared" si="0"/>
        <v>0.23506233766233767</v>
      </c>
      <c r="F12" s="139">
        <f t="shared" si="1"/>
        <v>0.22426233766233766</v>
      </c>
      <c r="G12" s="141">
        <f t="shared" si="2"/>
        <v>2.1803282828282831E-4</v>
      </c>
      <c r="H12" s="369">
        <f t="shared" si="4"/>
        <v>218.03282828282832</v>
      </c>
      <c r="I12" s="18">
        <f t="shared" si="3"/>
        <v>10901.641414141415</v>
      </c>
      <c r="J12" s="332">
        <f>I12/PROT!G14</f>
        <v>252.93682367478249</v>
      </c>
      <c r="K12" s="236">
        <f>AVERAGE(J12:J20)</f>
        <v>273.64990186481157</v>
      </c>
      <c r="L12" s="239">
        <f>STDEV(J12:J20)</f>
        <v>72.155918763007179</v>
      </c>
      <c r="N12" s="11"/>
      <c r="O12" s="28" t="s">
        <v>15</v>
      </c>
      <c r="P12" s="36">
        <v>1.0800000000000002E-2</v>
      </c>
      <c r="Q12" s="12" t="s">
        <v>24</v>
      </c>
      <c r="R12" s="6"/>
    </row>
    <row r="13" spans="1:21" ht="16.8" thickBot="1" x14ac:dyDescent="0.35">
      <c r="A13" s="309"/>
      <c r="B13" s="255">
        <v>11</v>
      </c>
      <c r="C13" s="343">
        <v>0.34961038961038954</v>
      </c>
      <c r="D13" s="343">
        <v>0.36215064935064933</v>
      </c>
      <c r="E13" s="328">
        <f t="shared" si="0"/>
        <v>0.35588051948051946</v>
      </c>
      <c r="F13" s="255">
        <f t="shared" si="1"/>
        <v>0.34508051948051949</v>
      </c>
      <c r="G13" s="344">
        <f t="shared" si="2"/>
        <v>3.354949494949495E-4</v>
      </c>
      <c r="H13" s="370">
        <f t="shared" si="4"/>
        <v>335.49494949494948</v>
      </c>
      <c r="I13" s="256">
        <f t="shared" si="3"/>
        <v>16774.747474747473</v>
      </c>
      <c r="J13" s="333">
        <f>I13/PROT!G15</f>
        <v>401.03234595093392</v>
      </c>
      <c r="K13" s="345"/>
      <c r="L13" s="240"/>
      <c r="N13" s="13"/>
      <c r="O13" s="14" t="s">
        <v>21</v>
      </c>
      <c r="P13" s="29">
        <v>18000</v>
      </c>
      <c r="Q13" s="30" t="s">
        <v>22</v>
      </c>
      <c r="R13" s="6"/>
    </row>
    <row r="14" spans="1:21" x14ac:dyDescent="0.3">
      <c r="A14" s="309"/>
      <c r="B14" s="255">
        <v>12</v>
      </c>
      <c r="C14" s="343">
        <v>0.26774025974025972</v>
      </c>
      <c r="D14" s="343">
        <v>0.2809454545454545</v>
      </c>
      <c r="E14" s="328">
        <f t="shared" si="0"/>
        <v>0.27434285714285711</v>
      </c>
      <c r="F14" s="255">
        <f t="shared" si="1"/>
        <v>0.26354285714285713</v>
      </c>
      <c r="G14" s="344">
        <f t="shared" si="2"/>
        <v>2.5622222222222225E-4</v>
      </c>
      <c r="H14" s="370">
        <f t="shared" si="4"/>
        <v>256.22222222222223</v>
      </c>
      <c r="I14" s="256">
        <f t="shared" si="3"/>
        <v>12811.111111111111</v>
      </c>
      <c r="J14" s="333">
        <f>I14/PROT!G16</f>
        <v>297.23980353873742</v>
      </c>
      <c r="K14" s="345"/>
      <c r="L14" s="240"/>
    </row>
    <row r="15" spans="1:21" ht="15" thickBot="1" x14ac:dyDescent="0.35">
      <c r="A15" s="309"/>
      <c r="B15" s="255">
        <v>13</v>
      </c>
      <c r="C15" s="343">
        <v>0.22473766233766237</v>
      </c>
      <c r="D15" s="343">
        <v>0.23335064935064939</v>
      </c>
      <c r="E15" s="328">
        <f t="shared" si="0"/>
        <v>0.22904415584415588</v>
      </c>
      <c r="F15" s="255">
        <f t="shared" si="1"/>
        <v>0.21824415584415588</v>
      </c>
      <c r="G15" s="344">
        <f t="shared" si="2"/>
        <v>2.121818181818182E-4</v>
      </c>
      <c r="H15" s="370">
        <f t="shared" si="4"/>
        <v>212.18181818181822</v>
      </c>
      <c r="I15" s="256">
        <f t="shared" si="3"/>
        <v>10609.09090909091</v>
      </c>
      <c r="J15" s="333">
        <f>I15/PROT!G17</f>
        <v>234.86652947390351</v>
      </c>
      <c r="K15" s="345"/>
      <c r="L15" s="240"/>
      <c r="N15" s="16" t="s">
        <v>16</v>
      </c>
      <c r="O15" s="2"/>
      <c r="P15" s="2"/>
    </row>
    <row r="16" spans="1:21" ht="15" thickBot="1" x14ac:dyDescent="0.35">
      <c r="A16" s="309"/>
      <c r="B16" s="255">
        <v>14</v>
      </c>
      <c r="C16" s="343">
        <v>0.32412467532467537</v>
      </c>
      <c r="D16" s="343">
        <v>0.3426909090909091</v>
      </c>
      <c r="E16" s="328">
        <f t="shared" si="0"/>
        <v>0.33340779220779226</v>
      </c>
      <c r="F16" s="255">
        <f t="shared" si="1"/>
        <v>0.32260779220779229</v>
      </c>
      <c r="G16" s="344">
        <f t="shared" si="2"/>
        <v>3.1364646464646475E-4</v>
      </c>
      <c r="H16" s="370">
        <f t="shared" si="4"/>
        <v>313.64646464646472</v>
      </c>
      <c r="I16" s="256">
        <f t="shared" si="3"/>
        <v>15682.323232323237</v>
      </c>
      <c r="J16" s="333">
        <f>I16/PROT!G18</f>
        <v>339.26710823610762</v>
      </c>
      <c r="K16" s="345"/>
      <c r="L16" s="240"/>
      <c r="N16" s="37" t="s">
        <v>17</v>
      </c>
      <c r="O16" s="38" t="s">
        <v>118</v>
      </c>
      <c r="P16" s="39" t="s">
        <v>19</v>
      </c>
    </row>
    <row r="17" spans="1:21" ht="15" thickBot="1" x14ac:dyDescent="0.35">
      <c r="A17" s="309"/>
      <c r="B17" s="255">
        <v>15</v>
      </c>
      <c r="C17" s="343">
        <v>0.17870129870129869</v>
      </c>
      <c r="D17" s="343">
        <v>0.1940415584415584</v>
      </c>
      <c r="E17" s="328">
        <f t="shared" si="0"/>
        <v>0.18637142857142855</v>
      </c>
      <c r="F17" s="255">
        <f t="shared" si="1"/>
        <v>0.17557142857142854</v>
      </c>
      <c r="G17" s="344">
        <f t="shared" si="2"/>
        <v>1.7069444444444443E-4</v>
      </c>
      <c r="H17" s="370">
        <f t="shared" si="4"/>
        <v>170.69444444444443</v>
      </c>
      <c r="I17" s="256">
        <f t="shared" si="3"/>
        <v>8534.7222222222208</v>
      </c>
      <c r="J17" s="333">
        <f>I17/PROT!G19</f>
        <v>169.94749034593886</v>
      </c>
      <c r="K17" s="345"/>
      <c r="L17" s="240"/>
      <c r="N17" s="314" t="s">
        <v>88</v>
      </c>
      <c r="O17" s="328">
        <f>K21</f>
        <v>494.15211953887808</v>
      </c>
      <c r="P17" s="342">
        <f>L21</f>
        <v>83.193540212557906</v>
      </c>
    </row>
    <row r="18" spans="1:21" x14ac:dyDescent="0.3">
      <c r="A18" s="309"/>
      <c r="B18" s="255">
        <v>16</v>
      </c>
      <c r="C18" s="343">
        <v>0.17969350649350649</v>
      </c>
      <c r="D18" s="343">
        <v>0.19378701298701295</v>
      </c>
      <c r="E18" s="328">
        <f t="shared" si="0"/>
        <v>0.18674025974025971</v>
      </c>
      <c r="F18" s="255">
        <f t="shared" si="1"/>
        <v>0.1759402597402597</v>
      </c>
      <c r="G18" s="344">
        <f t="shared" si="2"/>
        <v>1.7105303030303027E-4</v>
      </c>
      <c r="H18" s="370">
        <f t="shared" si="4"/>
        <v>171.05303030303028</v>
      </c>
      <c r="I18" s="256">
        <f t="shared" si="3"/>
        <v>8552.6515151515141</v>
      </c>
      <c r="J18" s="333">
        <f>I18/PROT!G20</f>
        <v>222.0116884749622</v>
      </c>
      <c r="K18" s="345"/>
      <c r="L18" s="240"/>
      <c r="N18" s="315" t="s">
        <v>89</v>
      </c>
      <c r="O18" s="328">
        <f>K3</f>
        <v>363.72925444731453</v>
      </c>
      <c r="P18" s="342">
        <f>L3</f>
        <v>73.789308375418898</v>
      </c>
    </row>
    <row r="19" spans="1:21" ht="15" thickBot="1" x14ac:dyDescent="0.35">
      <c r="A19" s="309"/>
      <c r="B19" s="255">
        <v>17</v>
      </c>
      <c r="C19" s="343">
        <v>0.52814285714285725</v>
      </c>
      <c r="D19" s="343">
        <v>0.57471428571428573</v>
      </c>
      <c r="E19" s="328">
        <f t="shared" si="0"/>
        <v>0.55142857142857149</v>
      </c>
      <c r="F19" s="255">
        <f t="shared" si="1"/>
        <v>0.54062857142857146</v>
      </c>
      <c r="G19" s="344">
        <f t="shared" si="2"/>
        <v>5.2561111111111114E-4</v>
      </c>
      <c r="H19" s="370">
        <f t="shared" si="4"/>
        <v>525.61111111111109</v>
      </c>
      <c r="I19" s="256">
        <f t="shared" si="3"/>
        <v>26280.555555555555</v>
      </c>
      <c r="J19" s="333"/>
      <c r="K19" s="345"/>
      <c r="L19" s="240"/>
      <c r="N19" s="316" t="s">
        <v>90</v>
      </c>
      <c r="O19" s="142">
        <f>K12</f>
        <v>273.64990186481157</v>
      </c>
      <c r="P19" s="26">
        <f>L12</f>
        <v>72.155918763007179</v>
      </c>
    </row>
    <row r="20" spans="1:21" ht="15" thickBot="1" x14ac:dyDescent="0.35">
      <c r="A20" s="310"/>
      <c r="B20" s="120">
        <v>18</v>
      </c>
      <c r="C20" s="169">
        <v>0.23774025974025978</v>
      </c>
      <c r="D20" s="169">
        <v>0.24528311688311688</v>
      </c>
      <c r="E20" s="142">
        <f t="shared" si="0"/>
        <v>0.24151168831168834</v>
      </c>
      <c r="F20" s="120">
        <f t="shared" si="1"/>
        <v>0.23071168831168834</v>
      </c>
      <c r="G20" s="143">
        <f t="shared" si="2"/>
        <v>2.2430303030303035E-4</v>
      </c>
      <c r="H20" s="371">
        <f t="shared" si="4"/>
        <v>224.30303030303034</v>
      </c>
      <c r="I20" s="27">
        <f t="shared" si="3"/>
        <v>11215.151515151518</v>
      </c>
      <c r="J20" s="334">
        <f>I20/PROT!G22</f>
        <v>271.8974252231265</v>
      </c>
      <c r="K20" s="238"/>
      <c r="L20" s="241"/>
    </row>
    <row r="21" spans="1:21" x14ac:dyDescent="0.3">
      <c r="A21" s="306" t="s">
        <v>88</v>
      </c>
      <c r="B21" s="139">
        <v>19</v>
      </c>
      <c r="C21" s="168">
        <v>0.34152280701754389</v>
      </c>
      <c r="D21" s="168">
        <v>0.36480000000000007</v>
      </c>
      <c r="E21" s="140">
        <f t="shared" si="0"/>
        <v>0.35316140350877201</v>
      </c>
      <c r="F21" s="139">
        <f t="shared" si="1"/>
        <v>0.34236140350877203</v>
      </c>
      <c r="G21" s="141">
        <f t="shared" si="2"/>
        <v>3.3285136452241724E-4</v>
      </c>
      <c r="H21" s="369">
        <f t="shared" si="4"/>
        <v>332.85136452241727</v>
      </c>
      <c r="I21" s="18">
        <f t="shared" si="3"/>
        <v>16642.568226120864</v>
      </c>
      <c r="J21" s="332">
        <f>I21/PROT!G23</f>
        <v>484.04194523808297</v>
      </c>
      <c r="K21" s="236">
        <f>AVERAGE(J21:J25)</f>
        <v>494.15211953887808</v>
      </c>
      <c r="L21" s="239">
        <f>STDEV(J21:J25)</f>
        <v>83.193540212557906</v>
      </c>
    </row>
    <row r="22" spans="1:21" x14ac:dyDescent="0.3">
      <c r="A22" s="307"/>
      <c r="B22" s="255">
        <v>20</v>
      </c>
      <c r="C22" s="343">
        <v>0.31861818181818186</v>
      </c>
      <c r="D22" s="343">
        <v>0.35005194805194806</v>
      </c>
      <c r="E22" s="328">
        <f t="shared" si="0"/>
        <v>0.33433506493506493</v>
      </c>
      <c r="F22" s="255">
        <f t="shared" si="1"/>
        <v>0.32353506493506495</v>
      </c>
      <c r="G22" s="344">
        <f t="shared" si="2"/>
        <v>3.1454797979797982E-4</v>
      </c>
      <c r="H22" s="370">
        <f t="shared" si="4"/>
        <v>314.54797979797979</v>
      </c>
      <c r="I22" s="256">
        <f t="shared" si="3"/>
        <v>15727.398989898989</v>
      </c>
      <c r="J22" s="197">
        <f>I22/PROT!G24</f>
        <v>353.2905994793515</v>
      </c>
      <c r="K22" s="345"/>
      <c r="L22" s="240"/>
      <c r="N22" s="32"/>
    </row>
    <row r="23" spans="1:21" x14ac:dyDescent="0.3">
      <c r="A23" s="307"/>
      <c r="B23" s="255">
        <v>21</v>
      </c>
      <c r="C23" s="343">
        <v>0.4675294117647058</v>
      </c>
      <c r="D23" s="343">
        <v>0.49812590299277598</v>
      </c>
      <c r="E23" s="328">
        <f t="shared" si="0"/>
        <v>0.48282765737874089</v>
      </c>
      <c r="F23" s="255">
        <f t="shared" si="1"/>
        <v>0.47202765737874092</v>
      </c>
      <c r="G23" s="344">
        <f t="shared" si="2"/>
        <v>4.5891577800710921E-4</v>
      </c>
      <c r="H23" s="370">
        <f t="shared" si="4"/>
        <v>458.91577800710922</v>
      </c>
      <c r="I23" s="256">
        <f t="shared" si="3"/>
        <v>22945.788900355463</v>
      </c>
      <c r="J23" s="197">
        <f>I23/PROT!G25</f>
        <v>537.36342003894845</v>
      </c>
      <c r="K23" s="345"/>
      <c r="L23" s="240"/>
    </row>
    <row r="24" spans="1:21" x14ac:dyDescent="0.3">
      <c r="A24" s="307"/>
      <c r="B24" s="255">
        <v>22</v>
      </c>
      <c r="C24" s="343">
        <v>0.50316666666666676</v>
      </c>
      <c r="D24" s="343">
        <v>0.5123839009287926</v>
      </c>
      <c r="E24" s="328">
        <f t="shared" si="0"/>
        <v>0.50777528379772963</v>
      </c>
      <c r="F24" s="255">
        <f t="shared" si="1"/>
        <v>0.49697528379772965</v>
      </c>
      <c r="G24" s="344">
        <f t="shared" si="2"/>
        <v>4.8317041480334824E-4</v>
      </c>
      <c r="H24" s="370">
        <f>G24*10^6</f>
        <v>483.17041480334825</v>
      </c>
      <c r="I24" s="256">
        <f t="shared" si="3"/>
        <v>24158.520740167412</v>
      </c>
      <c r="J24" s="197">
        <f>I24/PROT!G26</f>
        <v>542.23967712429896</v>
      </c>
      <c r="K24" s="345"/>
      <c r="L24" s="240"/>
      <c r="S24" s="6"/>
      <c r="T24" s="6"/>
      <c r="U24" s="6"/>
    </row>
    <row r="25" spans="1:21" ht="15" thickBot="1" x14ac:dyDescent="0.35">
      <c r="A25" s="318"/>
      <c r="B25" s="120">
        <v>23</v>
      </c>
      <c r="C25" s="169">
        <v>0.40087272727272721</v>
      </c>
      <c r="D25" s="169">
        <v>0.40995844155844158</v>
      </c>
      <c r="E25" s="142">
        <f t="shared" si="0"/>
        <v>0.4054155844155844</v>
      </c>
      <c r="F25" s="120">
        <f t="shared" si="1"/>
        <v>0.39461558441558442</v>
      </c>
      <c r="G25" s="143">
        <f t="shared" si="2"/>
        <v>3.8365404040404045E-4</v>
      </c>
      <c r="H25" s="371">
        <f t="shared" si="4"/>
        <v>383.65404040404047</v>
      </c>
      <c r="I25" s="27">
        <f t="shared" si="3"/>
        <v>19182.702020202025</v>
      </c>
      <c r="J25" s="198">
        <f>I25/PROT!G27</f>
        <v>553.82495581370847</v>
      </c>
      <c r="K25" s="238"/>
      <c r="L25" s="241"/>
      <c r="S25" t="s">
        <v>93</v>
      </c>
      <c r="T25" s="6"/>
      <c r="U25" s="6"/>
    </row>
    <row r="26" spans="1:21" x14ac:dyDescent="0.3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S26" t="s">
        <v>56</v>
      </c>
      <c r="T26" s="6"/>
      <c r="U26" s="6"/>
    </row>
    <row r="27" spans="1:21" x14ac:dyDescent="0.3">
      <c r="A27" s="3"/>
      <c r="B27" s="3"/>
      <c r="C27" s="3"/>
      <c r="D27" s="3"/>
      <c r="E27" s="3"/>
      <c r="F27" s="3"/>
      <c r="G27" s="3"/>
      <c r="H27" s="3"/>
      <c r="I27" s="3"/>
      <c r="J27" s="76"/>
      <c r="K27" s="76"/>
      <c r="L27" s="76"/>
      <c r="S27" t="s">
        <v>57</v>
      </c>
      <c r="T27" s="20"/>
      <c r="U27" s="6"/>
    </row>
    <row r="28" spans="1:21" x14ac:dyDescent="0.3">
      <c r="A28" s="3"/>
      <c r="B28" s="3"/>
      <c r="C28" s="3"/>
      <c r="D28" s="3"/>
      <c r="E28" s="3"/>
      <c r="F28" s="3"/>
      <c r="G28" s="3"/>
      <c r="H28" s="3"/>
      <c r="I28" s="3"/>
      <c r="J28" s="76"/>
      <c r="K28" s="76"/>
      <c r="L28" s="76"/>
      <c r="S28" t="s">
        <v>57</v>
      </c>
      <c r="T28" s="6"/>
      <c r="U28" s="6"/>
    </row>
    <row r="29" spans="1:21" x14ac:dyDescent="0.3">
      <c r="A29" s="3"/>
      <c r="B29" s="3"/>
      <c r="C29" s="3"/>
      <c r="D29" s="3"/>
      <c r="E29" s="3"/>
      <c r="F29" s="3"/>
      <c r="G29" s="3"/>
      <c r="H29" s="3"/>
      <c r="I29" s="3"/>
      <c r="J29" s="76"/>
      <c r="K29" s="76"/>
      <c r="L29" s="76"/>
      <c r="S29" s="6"/>
      <c r="T29" s="6"/>
      <c r="U29" s="6"/>
    </row>
    <row r="30" spans="1:2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Q30" s="6" t="s">
        <v>2</v>
      </c>
      <c r="R30" s="6"/>
      <c r="S30" s="6"/>
      <c r="T30" s="6"/>
      <c r="U30" s="6"/>
    </row>
    <row r="31" spans="1:2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Q31" s="6"/>
      <c r="R31" s="6"/>
      <c r="S31" s="6"/>
      <c r="T31" s="6"/>
      <c r="U31" s="6"/>
    </row>
    <row r="32" spans="1:2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Q32" s="6"/>
      <c r="R32" s="6"/>
      <c r="S32" s="6"/>
      <c r="T32" s="6"/>
      <c r="U32" s="6"/>
    </row>
    <row r="33" spans="1:21" x14ac:dyDescent="0.3">
      <c r="A33" s="76"/>
      <c r="B33" s="76"/>
      <c r="C33" s="76"/>
      <c r="D33" s="76"/>
      <c r="E33" s="76"/>
      <c r="F33" s="76"/>
      <c r="G33" s="76"/>
      <c r="H33" s="76"/>
      <c r="I33" s="76"/>
      <c r="J33" s="3"/>
      <c r="K33" s="3"/>
      <c r="L33" s="3"/>
      <c r="Q33" s="6"/>
      <c r="R33" s="6"/>
      <c r="S33" s="6"/>
      <c r="T33" s="6"/>
      <c r="U33" s="6"/>
    </row>
    <row r="34" spans="1:2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Q34" s="6"/>
      <c r="R34" s="6"/>
      <c r="S34" s="6"/>
      <c r="T34" s="6"/>
      <c r="U34" s="6"/>
    </row>
    <row r="35" spans="1:2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Q35" s="6"/>
      <c r="R35" s="6"/>
      <c r="S35" s="6"/>
      <c r="T35" s="6"/>
      <c r="U35" s="6"/>
    </row>
    <row r="36" spans="1:2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Q36" s="6" t="s">
        <v>2</v>
      </c>
      <c r="R36" s="6"/>
      <c r="S36" s="6"/>
      <c r="T36" s="6"/>
      <c r="U36" s="6"/>
    </row>
    <row r="37" spans="1:2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Q37" s="6"/>
      <c r="R37" s="6"/>
      <c r="S37" s="6"/>
      <c r="T37" s="6"/>
      <c r="U37" s="6"/>
    </row>
    <row r="38" spans="1:2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O38" s="220" t="s">
        <v>106</v>
      </c>
      <c r="P38" s="220" t="s">
        <v>107</v>
      </c>
      <c r="Q38" s="220" t="s">
        <v>108</v>
      </c>
      <c r="R38" s="6"/>
      <c r="S38" s="6"/>
      <c r="T38" s="6"/>
      <c r="U38" s="6"/>
    </row>
    <row r="39" spans="1:2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O39" t="s">
        <v>103</v>
      </c>
      <c r="P39" s="222">
        <v>1.856038267E-2</v>
      </c>
      <c r="Q39" s="223">
        <f>(O18-O17)/O17</f>
        <v>-0.26393262304180476</v>
      </c>
    </row>
    <row r="40" spans="1:21" x14ac:dyDescent="0.3">
      <c r="A40" s="76"/>
      <c r="B40" s="76"/>
      <c r="C40" s="76"/>
      <c r="D40" s="76"/>
      <c r="E40" s="76"/>
      <c r="F40" s="76"/>
      <c r="G40" s="76"/>
      <c r="H40" s="76"/>
      <c r="I40" s="76"/>
      <c r="J40" s="3"/>
      <c r="K40" s="3"/>
      <c r="L40" s="3"/>
      <c r="O40" t="s">
        <v>104</v>
      </c>
      <c r="P40" s="222">
        <v>1.9685921269999999E-4</v>
      </c>
      <c r="Q40" s="223">
        <f>(O19-O17)/O17</f>
        <v>-0.44622335705011218</v>
      </c>
    </row>
    <row r="41" spans="1:2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O41" t="s">
        <v>105</v>
      </c>
      <c r="P41" s="221">
        <v>6.8602333639999999E-2</v>
      </c>
    </row>
    <row r="42" spans="1:2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2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Q43" s="6"/>
      <c r="R43" s="6"/>
    </row>
    <row r="44" spans="1:2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2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2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21" x14ac:dyDescent="0.3">
      <c r="A47" s="76"/>
      <c r="B47" s="76"/>
      <c r="C47" s="76"/>
      <c r="D47" s="76"/>
      <c r="E47" s="76"/>
      <c r="F47" s="76"/>
      <c r="G47" s="76"/>
      <c r="H47" s="76"/>
      <c r="I47" s="76"/>
      <c r="J47" s="3"/>
      <c r="K47" s="3"/>
      <c r="L47" s="3"/>
    </row>
    <row r="48" spans="1:21" x14ac:dyDescent="0.3">
      <c r="A48" s="3"/>
      <c r="B48" s="3"/>
      <c r="C48" s="3"/>
      <c r="D48" s="3"/>
      <c r="E48" s="3"/>
      <c r="F48" s="3"/>
      <c r="G48" s="3"/>
      <c r="H48" s="3"/>
      <c r="I48" s="3"/>
    </row>
    <row r="49" spans="1:9" x14ac:dyDescent="0.3">
      <c r="A49" s="3"/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3"/>
      <c r="B50" s="3"/>
      <c r="C50" s="3"/>
      <c r="D50" s="3"/>
      <c r="E50" s="3"/>
      <c r="F50" s="3"/>
      <c r="G50" s="3"/>
      <c r="H50" s="3"/>
      <c r="I50" s="3"/>
    </row>
  </sheetData>
  <mergeCells count="10">
    <mergeCell ref="A21:A25"/>
    <mergeCell ref="A12:A20"/>
    <mergeCell ref="A3:A11"/>
    <mergeCell ref="K21:K25"/>
    <mergeCell ref="L21:L25"/>
    <mergeCell ref="N3:S3"/>
    <mergeCell ref="K3:K11"/>
    <mergeCell ref="L3:L11"/>
    <mergeCell ref="K12:K20"/>
    <mergeCell ref="L12:L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PROT</vt:lpstr>
      <vt:lpstr>PROT stat (mg-mL)</vt:lpstr>
      <vt:lpstr>ETS</vt:lpstr>
      <vt:lpstr>ETS stat (FW)</vt:lpstr>
      <vt:lpstr>GLY</vt:lpstr>
      <vt:lpstr>GLY stat (FW)</vt:lpstr>
      <vt:lpstr>GSTs</vt:lpstr>
      <vt:lpstr>GST stat (PROT)</vt:lpstr>
      <vt:lpstr>CbEs_pNPBsubstrate</vt:lpstr>
      <vt:lpstr>CbES stat (PROT)</vt:lpstr>
      <vt:lpstr>TAC</vt:lpstr>
      <vt:lpstr>TAC stat (PROT)</vt:lpstr>
      <vt:lpstr>PC</vt:lpstr>
      <vt:lpstr>PC stat (PROT)</vt:lpstr>
      <vt:lpstr>SOD</vt:lpstr>
      <vt:lpstr>SOD stat (PROT)</vt:lpstr>
      <vt:lpstr>AOPP</vt:lpstr>
      <vt:lpstr>AOPP stat (PROT)</vt:lpstr>
      <vt:lpstr>LPO</vt:lpstr>
      <vt:lpstr>LPO stat (PROT)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Sara Pacchini</cp:lastModifiedBy>
  <dcterms:created xsi:type="dcterms:W3CDTF">2019-11-26T18:04:46Z</dcterms:created>
  <dcterms:modified xsi:type="dcterms:W3CDTF">2026-07-15T12:49:39Z</dcterms:modified>
</cp:coreProperties>
</file>