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09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paoloferro/UNI/Aricoli Rivista/DA PUBBLICARE/CRMs/"/>
    </mc:Choice>
  </mc:AlternateContent>
  <xr:revisionPtr revIDLastSave="0" documentId="13_ncr:1_{D2F2168B-9490-3342-BE38-A4B17C54A1EC}" xr6:coauthVersionLast="40" xr6:coauthVersionMax="40" xr10:uidLastSave="{00000000-0000-0000-0000-000000000000}"/>
  <bookViews>
    <workbookView xWindow="700" yWindow="4160" windowWidth="27980" windowHeight="15920" tabRatio="501" activeTab="3" xr2:uid="{00000000-000D-0000-FFFF-FFFF00000000}"/>
  </bookViews>
  <sheets>
    <sheet name="Foglio1" sheetId="1" r:id="rId1"/>
    <sheet name="Foglio2" sheetId="2" r:id="rId2"/>
    <sheet name="Grafico1" sheetId="4" r:id="rId3"/>
    <sheet name="Grafico2" sheetId="5" r:id="rId4"/>
    <sheet name="Foglio3" sheetId="3" r:id="rId5"/>
  </sheets>
  <externalReferences>
    <externalReference r:id="rId6"/>
    <externalReference r:id="rId7"/>
    <externalReference r:id="rId8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6" i="3" l="1"/>
  <c r="G81" i="3" l="1"/>
  <c r="M81" i="3"/>
  <c r="H81" i="3"/>
  <c r="G7" i="3"/>
  <c r="Y78" i="2"/>
  <c r="A8" i="1"/>
  <c r="A9" i="1" s="1"/>
  <c r="A10" i="1" s="1"/>
  <c r="A11" i="1" s="1"/>
  <c r="A12" i="1" s="1"/>
  <c r="A13" i="1" s="1"/>
  <c r="A14" i="1" s="1"/>
  <c r="A15" i="1" s="1"/>
  <c r="A16" i="1"/>
  <c r="A17" i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5" i="1"/>
  <c r="A6" i="1" s="1"/>
  <c r="A7" i="1" s="1"/>
  <c r="F7" i="3"/>
  <c r="F8" i="3" s="1"/>
  <c r="F9" i="3" s="1"/>
  <c r="F10" i="3" s="1"/>
  <c r="F11" i="3" s="1"/>
  <c r="F12" i="3" s="1"/>
  <c r="F13" i="3" s="1"/>
  <c r="F14" i="3" s="1"/>
  <c r="F15" i="3" s="1"/>
  <c r="F16" i="3" s="1"/>
  <c r="F17" i="3" s="1"/>
  <c r="F18" i="3" s="1"/>
  <c r="F19" i="3" s="1"/>
  <c r="F20" i="3" s="1"/>
  <c r="F21" i="3" s="1"/>
  <c r="F22" i="3" s="1"/>
  <c r="F23" i="3" s="1"/>
  <c r="F24" i="3" s="1"/>
  <c r="F25" i="3" s="1"/>
  <c r="F26" i="3" s="1"/>
  <c r="F27" i="3" s="1"/>
  <c r="F28" i="3" s="1"/>
  <c r="F29" i="3" s="1"/>
  <c r="F30" i="3" s="1"/>
  <c r="F31" i="3" s="1"/>
  <c r="F32" i="3" s="1"/>
  <c r="F33" i="3" s="1"/>
  <c r="F34" i="3" s="1"/>
  <c r="F35" i="3" s="1"/>
  <c r="F36" i="3" s="1"/>
  <c r="F37" i="3" s="1"/>
  <c r="F38" i="3" s="1"/>
  <c r="F39" i="3" s="1"/>
  <c r="F40" i="3" s="1"/>
  <c r="F41" i="3" s="1"/>
  <c r="F42" i="3" s="1"/>
  <c r="F43" i="3" s="1"/>
  <c r="F44" i="3" s="1"/>
  <c r="F45" i="3" s="1"/>
  <c r="F46" i="3" s="1"/>
  <c r="F47" i="3" s="1"/>
  <c r="F48" i="3" s="1"/>
  <c r="F49" i="3" s="1"/>
  <c r="F50" i="3" s="1"/>
  <c r="F51" i="3" s="1"/>
  <c r="F52" i="3" s="1"/>
  <c r="F53" i="3" s="1"/>
  <c r="F54" i="3" s="1"/>
  <c r="F55" i="3" s="1"/>
  <c r="F56" i="3" s="1"/>
  <c r="F57" i="3" s="1"/>
  <c r="F58" i="3" s="1"/>
  <c r="F59" i="3" s="1"/>
  <c r="F60" i="3" s="1"/>
  <c r="F61" i="3" s="1"/>
  <c r="F62" i="3" s="1"/>
  <c r="F63" i="3" s="1"/>
  <c r="F64" i="3" s="1"/>
  <c r="F65" i="3" s="1"/>
  <c r="F66" i="3" s="1"/>
  <c r="F67" i="3" s="1"/>
  <c r="F68" i="3" s="1"/>
  <c r="F69" i="3" s="1"/>
  <c r="F70" i="3" s="1"/>
  <c r="F71" i="3" s="1"/>
  <c r="F72" i="3" s="1"/>
  <c r="F73" i="3" s="1"/>
  <c r="F74" i="3" s="1"/>
  <c r="F75" i="3" s="1"/>
  <c r="F76" i="3" s="1"/>
  <c r="F77" i="3" s="1"/>
  <c r="F78" i="3" s="1"/>
  <c r="F79" i="3" s="1"/>
  <c r="F80" i="3" s="1"/>
  <c r="F81" i="3" s="1"/>
  <c r="F82" i="3" s="1"/>
  <c r="F83" i="3" s="1"/>
  <c r="F84" i="3" s="1"/>
  <c r="F85" i="3" s="1"/>
  <c r="F86" i="3" s="1"/>
  <c r="F87" i="3" s="1"/>
  <c r="F88" i="3" s="1"/>
  <c r="F89" i="3" s="1"/>
  <c r="J7" i="3"/>
  <c r="K7" i="3" s="1"/>
  <c r="H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69" i="3"/>
  <c r="G170" i="3"/>
  <c r="G171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1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1" i="3"/>
  <c r="G212" i="3"/>
  <c r="G213" i="3"/>
  <c r="G214" i="3"/>
  <c r="G215" i="3"/>
  <c r="G216" i="3"/>
  <c r="G217" i="3"/>
  <c r="G218" i="3"/>
  <c r="G219" i="3"/>
  <c r="G220" i="3"/>
  <c r="G221" i="3"/>
  <c r="G222" i="3"/>
  <c r="G223" i="3"/>
  <c r="G224" i="3"/>
  <c r="G225" i="3"/>
  <c r="G226" i="3"/>
  <c r="G227" i="3"/>
  <c r="G228" i="3"/>
  <c r="G229" i="3"/>
  <c r="G230" i="3"/>
  <c r="G231" i="3"/>
  <c r="G232" i="3"/>
  <c r="G233" i="3"/>
  <c r="G234" i="3"/>
  <c r="G235" i="3"/>
  <c r="G236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2" i="3"/>
  <c r="H83" i="3"/>
  <c r="H8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H105" i="3"/>
  <c r="H106" i="3"/>
  <c r="H107" i="3"/>
  <c r="H108" i="3"/>
  <c r="H109" i="3"/>
  <c r="H110" i="3"/>
  <c r="H111" i="3"/>
  <c r="H112" i="3"/>
  <c r="H113" i="3"/>
  <c r="H114" i="3"/>
  <c r="H115" i="3"/>
  <c r="H116" i="3"/>
  <c r="H117" i="3"/>
  <c r="H118" i="3"/>
  <c r="H119" i="3"/>
  <c r="H120" i="3"/>
  <c r="H121" i="3"/>
  <c r="H122" i="3"/>
  <c r="H123" i="3"/>
  <c r="H124" i="3"/>
  <c r="H125" i="3"/>
  <c r="H126" i="3"/>
  <c r="H127" i="3"/>
  <c r="H128" i="3"/>
  <c r="H129" i="3"/>
  <c r="H130" i="3"/>
  <c r="H131" i="3"/>
  <c r="H132" i="3"/>
  <c r="H133" i="3"/>
  <c r="H134" i="3"/>
  <c r="H135" i="3"/>
  <c r="H136" i="3"/>
  <c r="H137" i="3"/>
  <c r="H138" i="3"/>
  <c r="H139" i="3"/>
  <c r="H140" i="3"/>
  <c r="H141" i="3"/>
  <c r="H142" i="3"/>
  <c r="H143" i="3"/>
  <c r="H144" i="3"/>
  <c r="H145" i="3"/>
  <c r="H146" i="3"/>
  <c r="H147" i="3"/>
  <c r="H148" i="3"/>
  <c r="H149" i="3"/>
  <c r="H150" i="3"/>
  <c r="H151" i="3"/>
  <c r="H152" i="3"/>
  <c r="H153" i="3"/>
  <c r="H154" i="3"/>
  <c r="H155" i="3"/>
  <c r="H156" i="3"/>
  <c r="H157" i="3"/>
  <c r="H158" i="3"/>
  <c r="H159" i="3"/>
  <c r="H160" i="3"/>
  <c r="H161" i="3"/>
  <c r="H162" i="3"/>
  <c r="H163" i="3"/>
  <c r="H164" i="3"/>
  <c r="H165" i="3"/>
  <c r="H166" i="3"/>
  <c r="H167" i="3"/>
  <c r="H168" i="3"/>
  <c r="H169" i="3"/>
  <c r="H170" i="3"/>
  <c r="H171" i="3"/>
  <c r="H172" i="3"/>
  <c r="H173" i="3"/>
  <c r="H174" i="3"/>
  <c r="H175" i="3"/>
  <c r="H176" i="3"/>
  <c r="H177" i="3"/>
  <c r="H178" i="3"/>
  <c r="H179" i="3"/>
  <c r="H180" i="3"/>
  <c r="H181" i="3"/>
  <c r="H182" i="3"/>
  <c r="H183" i="3"/>
  <c r="H184" i="3"/>
  <c r="H185" i="3"/>
  <c r="H186" i="3"/>
  <c r="H187" i="3"/>
  <c r="H188" i="3"/>
  <c r="H189" i="3"/>
  <c r="H190" i="3"/>
  <c r="H191" i="3"/>
  <c r="H192" i="3"/>
  <c r="H193" i="3"/>
  <c r="H194" i="3"/>
  <c r="H195" i="3"/>
  <c r="H196" i="3"/>
  <c r="H197" i="3"/>
  <c r="H198" i="3"/>
  <c r="H199" i="3"/>
  <c r="H200" i="3"/>
  <c r="H201" i="3"/>
  <c r="H202" i="3"/>
  <c r="H203" i="3"/>
  <c r="H204" i="3"/>
  <c r="H205" i="3"/>
  <c r="H206" i="3"/>
  <c r="H207" i="3"/>
  <c r="H208" i="3"/>
  <c r="H209" i="3"/>
  <c r="H210" i="3"/>
  <c r="H211" i="3"/>
  <c r="H212" i="3"/>
  <c r="H213" i="3"/>
  <c r="H214" i="3"/>
  <c r="H215" i="3"/>
  <c r="H216" i="3"/>
  <c r="H217" i="3"/>
  <c r="H218" i="3"/>
  <c r="H219" i="3"/>
  <c r="H220" i="3"/>
  <c r="H221" i="3"/>
  <c r="H222" i="3"/>
  <c r="H223" i="3"/>
  <c r="H224" i="3"/>
  <c r="H225" i="3"/>
  <c r="H226" i="3"/>
  <c r="H227" i="3"/>
  <c r="H228" i="3"/>
  <c r="H229" i="3"/>
  <c r="H230" i="3"/>
  <c r="H231" i="3"/>
  <c r="H232" i="3"/>
  <c r="H233" i="3"/>
  <c r="H234" i="3"/>
  <c r="H235" i="3"/>
  <c r="H236" i="3"/>
  <c r="H237" i="3"/>
  <c r="H238" i="3"/>
  <c r="H239" i="3"/>
  <c r="H240" i="3"/>
  <c r="H241" i="3"/>
  <c r="H242" i="3"/>
  <c r="H243" i="3"/>
  <c r="H244" i="3"/>
  <c r="H245" i="3"/>
  <c r="H246" i="3"/>
  <c r="H247" i="3"/>
  <c r="H248" i="3"/>
  <c r="H249" i="3"/>
  <c r="H250" i="3"/>
  <c r="H251" i="3"/>
  <c r="H252" i="3"/>
  <c r="H253" i="3"/>
  <c r="H254" i="3"/>
  <c r="H255" i="3"/>
  <c r="H256" i="3"/>
  <c r="H257" i="3"/>
  <c r="H258" i="3"/>
  <c r="H259" i="3"/>
  <c r="H260" i="3"/>
  <c r="H261" i="3"/>
  <c r="H262" i="3"/>
  <c r="H263" i="3"/>
  <c r="AG260" i="2"/>
  <c r="AB260" i="2"/>
  <c r="AB259" i="2"/>
  <c r="AB258" i="2"/>
  <c r="AB257" i="2"/>
  <c r="AB256" i="2"/>
  <c r="AB255" i="2"/>
  <c r="AB254" i="2"/>
  <c r="AC254" i="2" s="1"/>
  <c r="AB253" i="2"/>
  <c r="AC253" i="2" s="1"/>
  <c r="AB252" i="2"/>
  <c r="AB251" i="2"/>
  <c r="AB250" i="2"/>
  <c r="AB249" i="2"/>
  <c r="AB248" i="2"/>
  <c r="AB247" i="2"/>
  <c r="AB246" i="2"/>
  <c r="AC246" i="2" s="1"/>
  <c r="AB245" i="2"/>
  <c r="AC245" i="2" s="1"/>
  <c r="AB244" i="2"/>
  <c r="AB243" i="2"/>
  <c r="AB242" i="2"/>
  <c r="AB241" i="2"/>
  <c r="AB240" i="2"/>
  <c r="AB239" i="2"/>
  <c r="AB238" i="2"/>
  <c r="AC238" i="2" s="1"/>
  <c r="AB237" i="2"/>
  <c r="AC237" i="2" s="1"/>
  <c r="AB236" i="2"/>
  <c r="AB235" i="2"/>
  <c r="AB234" i="2"/>
  <c r="AB233" i="2"/>
  <c r="AB232" i="2"/>
  <c r="AB231" i="2"/>
  <c r="AB230" i="2"/>
  <c r="AC230" i="2" s="1"/>
  <c r="AB229" i="2"/>
  <c r="AC229" i="2" s="1"/>
  <c r="AB228" i="2"/>
  <c r="AB227" i="2"/>
  <c r="AB226" i="2"/>
  <c r="AB225" i="2"/>
  <c r="AB224" i="2"/>
  <c r="AB223" i="2"/>
  <c r="AB222" i="2"/>
  <c r="AC222" i="2" s="1"/>
  <c r="AB221" i="2"/>
  <c r="AC221" i="2" s="1"/>
  <c r="AB220" i="2"/>
  <c r="AB219" i="2"/>
  <c r="AB218" i="2"/>
  <c r="AB217" i="2"/>
  <c r="AB216" i="2"/>
  <c r="AB215" i="2"/>
  <c r="AB214" i="2"/>
  <c r="AC214" i="2" s="1"/>
  <c r="AB213" i="2"/>
  <c r="AC213" i="2" s="1"/>
  <c r="AB212" i="2"/>
  <c r="AB211" i="2"/>
  <c r="AB210" i="2"/>
  <c r="AB209" i="2"/>
  <c r="AB208" i="2"/>
  <c r="AB207" i="2"/>
  <c r="AB206" i="2"/>
  <c r="AC206" i="2" s="1"/>
  <c r="AB205" i="2"/>
  <c r="AC205" i="2" s="1"/>
  <c r="AB204" i="2"/>
  <c r="AB203" i="2"/>
  <c r="AB202" i="2"/>
  <c r="AB201" i="2"/>
  <c r="AB200" i="2"/>
  <c r="AB199" i="2"/>
  <c r="AB198" i="2"/>
  <c r="AC198" i="2" s="1"/>
  <c r="AB197" i="2"/>
  <c r="AC197" i="2" s="1"/>
  <c r="AB196" i="2"/>
  <c r="AB195" i="2"/>
  <c r="AB194" i="2"/>
  <c r="AB193" i="2"/>
  <c r="AB192" i="2"/>
  <c r="AB191" i="2"/>
  <c r="AB190" i="2"/>
  <c r="AC190" i="2" s="1"/>
  <c r="AB189" i="2"/>
  <c r="AC189" i="2" s="1"/>
  <c r="AB188" i="2"/>
  <c r="AB187" i="2"/>
  <c r="AB186" i="2"/>
  <c r="AB185" i="2"/>
  <c r="AB184" i="2"/>
  <c r="AB183" i="2"/>
  <c r="AB182" i="2"/>
  <c r="AC182" i="2" s="1"/>
  <c r="AB181" i="2"/>
  <c r="AC181" i="2" s="1"/>
  <c r="AB180" i="2"/>
  <c r="AB179" i="2"/>
  <c r="AB178" i="2"/>
  <c r="AB177" i="2"/>
  <c r="AB176" i="2"/>
  <c r="AB175" i="2"/>
  <c r="AB174" i="2"/>
  <c r="AC174" i="2" s="1"/>
  <c r="AB173" i="2"/>
  <c r="AC173" i="2" s="1"/>
  <c r="AB172" i="2"/>
  <c r="AB171" i="2"/>
  <c r="AB170" i="2"/>
  <c r="AB169" i="2"/>
  <c r="AB168" i="2"/>
  <c r="AB167" i="2"/>
  <c r="AB166" i="2"/>
  <c r="AC166" i="2" s="1"/>
  <c r="AB165" i="2"/>
  <c r="AC165" i="2" s="1"/>
  <c r="AB164" i="2"/>
  <c r="AB163" i="2"/>
  <c r="AB162" i="2"/>
  <c r="AB161" i="2"/>
  <c r="AB160" i="2"/>
  <c r="AB159" i="2"/>
  <c r="AB158" i="2"/>
  <c r="AC158" i="2" s="1"/>
  <c r="AB157" i="2"/>
  <c r="AC157" i="2" s="1"/>
  <c r="AB156" i="2"/>
  <c r="AB155" i="2"/>
  <c r="AB154" i="2"/>
  <c r="AB153" i="2"/>
  <c r="AB152" i="2"/>
  <c r="AB151" i="2"/>
  <c r="AB150" i="2"/>
  <c r="AC150" i="2" s="1"/>
  <c r="AB149" i="2"/>
  <c r="AC149" i="2" s="1"/>
  <c r="AB148" i="2"/>
  <c r="AB147" i="2"/>
  <c r="AB146" i="2"/>
  <c r="AB145" i="2"/>
  <c r="AB144" i="2"/>
  <c r="AB143" i="2"/>
  <c r="AB142" i="2"/>
  <c r="AC142" i="2" s="1"/>
  <c r="AB141" i="2"/>
  <c r="AC141" i="2" s="1"/>
  <c r="AB140" i="2"/>
  <c r="AB139" i="2"/>
  <c r="AB138" i="2"/>
  <c r="AB137" i="2"/>
  <c r="AB136" i="2"/>
  <c r="AB135" i="2"/>
  <c r="AB134" i="2"/>
  <c r="AC134" i="2" s="1"/>
  <c r="AB133" i="2"/>
  <c r="AC133" i="2" s="1"/>
  <c r="AB132" i="2"/>
  <c r="AB131" i="2"/>
  <c r="AB130" i="2"/>
  <c r="AB129" i="2"/>
  <c r="AB128" i="2"/>
  <c r="AB127" i="2"/>
  <c r="AB126" i="2"/>
  <c r="AC126" i="2" s="1"/>
  <c r="AB125" i="2"/>
  <c r="AC125" i="2" s="1"/>
  <c r="AB124" i="2"/>
  <c r="AB123" i="2"/>
  <c r="AB122" i="2"/>
  <c r="AB121" i="2"/>
  <c r="AB120" i="2"/>
  <c r="AB119" i="2"/>
  <c r="AB118" i="2"/>
  <c r="AC118" i="2" s="1"/>
  <c r="AB117" i="2"/>
  <c r="AC117" i="2" s="1"/>
  <c r="AB116" i="2"/>
  <c r="AB115" i="2"/>
  <c r="AB114" i="2"/>
  <c r="AB113" i="2"/>
  <c r="AB112" i="2"/>
  <c r="AB111" i="2"/>
  <c r="AB110" i="2"/>
  <c r="AC110" i="2" s="1"/>
  <c r="AB109" i="2"/>
  <c r="AC109" i="2" s="1"/>
  <c r="AB108" i="2"/>
  <c r="AB107" i="2"/>
  <c r="AB106" i="2"/>
  <c r="AB105" i="2"/>
  <c r="AB104" i="2"/>
  <c r="AB103" i="2"/>
  <c r="AB102" i="2"/>
  <c r="AC102" i="2" s="1"/>
  <c r="AB101" i="2"/>
  <c r="AC101" i="2" s="1"/>
  <c r="AB100" i="2"/>
  <c r="AB99" i="2"/>
  <c r="AB98" i="2"/>
  <c r="AB97" i="2"/>
  <c r="AB96" i="2"/>
  <c r="AB95" i="2"/>
  <c r="AB94" i="2"/>
  <c r="AC94" i="2" s="1"/>
  <c r="AB93" i="2"/>
  <c r="AC93" i="2" s="1"/>
  <c r="AB92" i="2"/>
  <c r="AB91" i="2"/>
  <c r="AB90" i="2"/>
  <c r="AB89" i="2"/>
  <c r="AB88" i="2"/>
  <c r="AB87" i="2"/>
  <c r="AB86" i="2"/>
  <c r="AC86" i="2" s="1"/>
  <c r="AB85" i="2"/>
  <c r="AC85" i="2" s="1"/>
  <c r="AB84" i="2"/>
  <c r="AB83" i="2"/>
  <c r="AB82" i="2"/>
  <c r="AB81" i="2"/>
  <c r="AB80" i="2"/>
  <c r="AB79" i="2"/>
  <c r="AB78" i="2"/>
  <c r="AC78" i="2" s="1"/>
  <c r="AB77" i="2"/>
  <c r="AC77" i="2" s="1"/>
  <c r="AB76" i="2"/>
  <c r="AB75" i="2"/>
  <c r="AB74" i="2"/>
  <c r="AB73" i="2"/>
  <c r="AB72" i="2"/>
  <c r="AB71" i="2"/>
  <c r="AB70" i="2"/>
  <c r="AC70" i="2" s="1"/>
  <c r="AB69" i="2"/>
  <c r="AC69" i="2" s="1"/>
  <c r="AB68" i="2"/>
  <c r="AB67" i="2"/>
  <c r="AB66" i="2"/>
  <c r="AB65" i="2"/>
  <c r="AB64" i="2"/>
  <c r="AB63" i="2"/>
  <c r="AB62" i="2"/>
  <c r="AC62" i="2" s="1"/>
  <c r="AB61" i="2"/>
  <c r="AC61" i="2" s="1"/>
  <c r="AB60" i="2"/>
  <c r="AB59" i="2"/>
  <c r="AB58" i="2"/>
  <c r="AB57" i="2"/>
  <c r="AB56" i="2"/>
  <c r="AB55" i="2"/>
  <c r="AB54" i="2"/>
  <c r="AC54" i="2" s="1"/>
  <c r="AB53" i="2"/>
  <c r="AC53" i="2" s="1"/>
  <c r="AB52" i="2"/>
  <c r="AB51" i="2"/>
  <c r="AB50" i="2"/>
  <c r="AB49" i="2"/>
  <c r="AB48" i="2"/>
  <c r="AB47" i="2"/>
  <c r="AB46" i="2"/>
  <c r="AC46" i="2" s="1"/>
  <c r="AB45" i="2"/>
  <c r="AC45" i="2" s="1"/>
  <c r="AB44" i="2"/>
  <c r="AB43" i="2"/>
  <c r="AB42" i="2"/>
  <c r="AB41" i="2"/>
  <c r="AB40" i="2"/>
  <c r="AB39" i="2"/>
  <c r="AB38" i="2"/>
  <c r="AC38" i="2" s="1"/>
  <c r="AB37" i="2"/>
  <c r="AC37" i="2" s="1"/>
  <c r="AB36" i="2"/>
  <c r="AB35" i="2"/>
  <c r="AB34" i="2"/>
  <c r="AB33" i="2"/>
  <c r="AB32" i="2"/>
  <c r="AB31" i="2"/>
  <c r="AB30" i="2"/>
  <c r="AC30" i="2" s="1"/>
  <c r="AB29" i="2"/>
  <c r="AC29" i="2" s="1"/>
  <c r="AB28" i="2"/>
  <c r="AB27" i="2"/>
  <c r="AB26" i="2"/>
  <c r="AB25" i="2"/>
  <c r="AB24" i="2"/>
  <c r="AB23" i="2"/>
  <c r="AB22" i="2"/>
  <c r="AC22" i="2" s="1"/>
  <c r="AB21" i="2"/>
  <c r="AC21" i="2" s="1"/>
  <c r="AB20" i="2"/>
  <c r="AB19" i="2"/>
  <c r="AB18" i="2"/>
  <c r="AB17" i="2"/>
  <c r="AB16" i="2"/>
  <c r="AB15" i="2"/>
  <c r="AB14" i="2"/>
  <c r="AC14" i="2" s="1"/>
  <c r="AB13" i="2"/>
  <c r="AC13" i="2" s="1"/>
  <c r="AB12" i="2"/>
  <c r="AB11" i="2"/>
  <c r="AB10" i="2"/>
  <c r="AB9" i="2"/>
  <c r="AB8" i="2"/>
  <c r="AB7" i="2"/>
  <c r="AB6" i="2"/>
  <c r="AC6" i="2" s="1"/>
  <c r="AB5" i="2"/>
  <c r="AC5" i="2" s="1"/>
  <c r="AB4" i="2"/>
  <c r="Z5" i="2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29" i="2"/>
  <c r="Z30" i="2"/>
  <c r="Z31" i="2"/>
  <c r="Z32" i="2"/>
  <c r="Z33" i="2"/>
  <c r="Z34" i="2"/>
  <c r="Z35" i="2"/>
  <c r="Z36" i="2"/>
  <c r="Z37" i="2"/>
  <c r="Z38" i="2"/>
  <c r="Z39" i="2"/>
  <c r="Z40" i="2"/>
  <c r="Z41" i="2"/>
  <c r="Z42" i="2"/>
  <c r="Z43" i="2"/>
  <c r="Z44" i="2"/>
  <c r="Z45" i="2"/>
  <c r="Z46" i="2"/>
  <c r="Z47" i="2"/>
  <c r="Z48" i="2"/>
  <c r="Z49" i="2"/>
  <c r="Z50" i="2"/>
  <c r="Z51" i="2"/>
  <c r="Z52" i="2"/>
  <c r="Z53" i="2"/>
  <c r="Z54" i="2"/>
  <c r="Z55" i="2"/>
  <c r="Z56" i="2"/>
  <c r="Z57" i="2"/>
  <c r="Z58" i="2"/>
  <c r="Z59" i="2"/>
  <c r="Z60" i="2"/>
  <c r="Z61" i="2"/>
  <c r="Z62" i="2"/>
  <c r="Z63" i="2"/>
  <c r="Z64" i="2"/>
  <c r="Z65" i="2"/>
  <c r="Z66" i="2"/>
  <c r="Z67" i="2"/>
  <c r="Z68" i="2"/>
  <c r="Z69" i="2"/>
  <c r="Z70" i="2"/>
  <c r="Z71" i="2"/>
  <c r="Z72" i="2"/>
  <c r="Z73" i="2"/>
  <c r="Z74" i="2"/>
  <c r="Z75" i="2"/>
  <c r="Z76" i="2"/>
  <c r="Z77" i="2"/>
  <c r="Z78" i="2"/>
  <c r="Z79" i="2"/>
  <c r="Z80" i="2"/>
  <c r="Z81" i="2"/>
  <c r="Z82" i="2"/>
  <c r="Z83" i="2"/>
  <c r="Z84" i="2"/>
  <c r="Z85" i="2"/>
  <c r="Z86" i="2"/>
  <c r="Z87" i="2"/>
  <c r="Z88" i="2"/>
  <c r="Z89" i="2"/>
  <c r="Z90" i="2"/>
  <c r="Z91" i="2"/>
  <c r="Z92" i="2"/>
  <c r="Z93" i="2"/>
  <c r="Z94" i="2"/>
  <c r="Z95" i="2"/>
  <c r="Z96" i="2"/>
  <c r="Z97" i="2"/>
  <c r="Z98" i="2"/>
  <c r="Z99" i="2"/>
  <c r="Z100" i="2"/>
  <c r="Z101" i="2"/>
  <c r="Z102" i="2"/>
  <c r="Z103" i="2"/>
  <c r="Z104" i="2"/>
  <c r="Z105" i="2"/>
  <c r="Z106" i="2"/>
  <c r="Z107" i="2"/>
  <c r="Z108" i="2"/>
  <c r="Z109" i="2"/>
  <c r="Z110" i="2"/>
  <c r="Z111" i="2"/>
  <c r="Z112" i="2"/>
  <c r="Z113" i="2"/>
  <c r="Z114" i="2"/>
  <c r="Z115" i="2"/>
  <c r="Z116" i="2"/>
  <c r="Z117" i="2"/>
  <c r="Z118" i="2"/>
  <c r="Z119" i="2"/>
  <c r="Z120" i="2"/>
  <c r="Z121" i="2"/>
  <c r="Z122" i="2"/>
  <c r="Z123" i="2"/>
  <c r="Z124" i="2"/>
  <c r="Z125" i="2"/>
  <c r="Z126" i="2"/>
  <c r="Z127" i="2"/>
  <c r="Z128" i="2"/>
  <c r="Z129" i="2"/>
  <c r="Z130" i="2"/>
  <c r="Z131" i="2"/>
  <c r="Z132" i="2"/>
  <c r="Z133" i="2"/>
  <c r="Z134" i="2"/>
  <c r="Z135" i="2"/>
  <c r="Z136" i="2"/>
  <c r="Z137" i="2"/>
  <c r="Z138" i="2"/>
  <c r="Z139" i="2"/>
  <c r="Z140" i="2"/>
  <c r="Z141" i="2"/>
  <c r="Z142" i="2"/>
  <c r="Z143" i="2"/>
  <c r="Z144" i="2"/>
  <c r="Z145" i="2"/>
  <c r="Z146" i="2"/>
  <c r="Z147" i="2"/>
  <c r="Z148" i="2"/>
  <c r="Z149" i="2"/>
  <c r="Z150" i="2"/>
  <c r="Z151" i="2"/>
  <c r="Z152" i="2"/>
  <c r="Z153" i="2"/>
  <c r="Z154" i="2"/>
  <c r="Z155" i="2"/>
  <c r="Z156" i="2"/>
  <c r="Z157" i="2"/>
  <c r="Z158" i="2"/>
  <c r="Z159" i="2"/>
  <c r="Z160" i="2"/>
  <c r="Z161" i="2"/>
  <c r="Z162" i="2"/>
  <c r="Z163" i="2"/>
  <c r="Z164" i="2"/>
  <c r="Z165" i="2"/>
  <c r="Z166" i="2"/>
  <c r="Z167" i="2"/>
  <c r="Z168" i="2"/>
  <c r="Z169" i="2"/>
  <c r="Z170" i="2"/>
  <c r="Z171" i="2"/>
  <c r="Z172" i="2"/>
  <c r="Z173" i="2"/>
  <c r="Z174" i="2"/>
  <c r="Z175" i="2"/>
  <c r="Z176" i="2"/>
  <c r="Z177" i="2"/>
  <c r="Z178" i="2"/>
  <c r="Z179" i="2"/>
  <c r="Z180" i="2"/>
  <c r="Z181" i="2"/>
  <c r="Z182" i="2"/>
  <c r="Z183" i="2"/>
  <c r="Z184" i="2"/>
  <c r="Z185" i="2"/>
  <c r="Z186" i="2"/>
  <c r="Z187" i="2"/>
  <c r="Z188" i="2"/>
  <c r="Z189" i="2"/>
  <c r="Z190" i="2"/>
  <c r="Z191" i="2"/>
  <c r="Z192" i="2"/>
  <c r="Z193" i="2"/>
  <c r="Z194" i="2"/>
  <c r="Z195" i="2"/>
  <c r="Z196" i="2"/>
  <c r="Z197" i="2"/>
  <c r="Z198" i="2"/>
  <c r="Z199" i="2"/>
  <c r="Z200" i="2"/>
  <c r="Z201" i="2"/>
  <c r="Z202" i="2"/>
  <c r="Z203" i="2"/>
  <c r="Z204" i="2"/>
  <c r="Z205" i="2"/>
  <c r="Z206" i="2"/>
  <c r="Z207" i="2"/>
  <c r="Z208" i="2"/>
  <c r="Z209" i="2"/>
  <c r="Z210" i="2"/>
  <c r="Z211" i="2"/>
  <c r="Z212" i="2"/>
  <c r="Z213" i="2"/>
  <c r="Z214" i="2"/>
  <c r="Z215" i="2"/>
  <c r="Z216" i="2"/>
  <c r="Z217" i="2"/>
  <c r="Z218" i="2"/>
  <c r="Z219" i="2"/>
  <c r="Z220" i="2"/>
  <c r="Z221" i="2"/>
  <c r="Z222" i="2"/>
  <c r="Z223" i="2"/>
  <c r="Z224" i="2"/>
  <c r="Z225" i="2"/>
  <c r="Z226" i="2"/>
  <c r="Z227" i="2"/>
  <c r="Z228" i="2"/>
  <c r="Z229" i="2"/>
  <c r="Z230" i="2"/>
  <c r="Z231" i="2"/>
  <c r="Z232" i="2"/>
  <c r="Z233" i="2"/>
  <c r="Z234" i="2"/>
  <c r="Z235" i="2"/>
  <c r="Z236" i="2"/>
  <c r="Z237" i="2"/>
  <c r="Z238" i="2"/>
  <c r="Z239" i="2"/>
  <c r="Z240" i="2"/>
  <c r="Z241" i="2"/>
  <c r="Z242" i="2"/>
  <c r="Z243" i="2"/>
  <c r="Z244" i="2"/>
  <c r="Z245" i="2"/>
  <c r="Z246" i="2"/>
  <c r="Z247" i="2"/>
  <c r="Z248" i="2"/>
  <c r="Z249" i="2"/>
  <c r="Z250" i="2"/>
  <c r="Z251" i="2"/>
  <c r="Z252" i="2"/>
  <c r="Z253" i="2"/>
  <c r="Z254" i="2"/>
  <c r="Z255" i="2"/>
  <c r="Z256" i="2"/>
  <c r="Z257" i="2"/>
  <c r="Z258" i="2"/>
  <c r="Z259" i="2"/>
  <c r="Z260" i="2"/>
  <c r="Z4" i="2"/>
  <c r="Y19" i="2"/>
  <c r="Y12" i="2"/>
  <c r="Y13" i="2"/>
  <c r="Y14" i="2"/>
  <c r="Y15" i="2"/>
  <c r="Y16" i="2"/>
  <c r="Y17" i="2"/>
  <c r="Y18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9" i="2"/>
  <c r="Y80" i="2"/>
  <c r="Y81" i="2"/>
  <c r="Y82" i="2"/>
  <c r="Y83" i="2"/>
  <c r="Y84" i="2"/>
  <c r="Y85" i="2"/>
  <c r="Y86" i="2"/>
  <c r="Y87" i="2"/>
  <c r="Y88" i="2"/>
  <c r="Y89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5" i="2"/>
  <c r="Y136" i="2"/>
  <c r="Y137" i="2"/>
  <c r="Y138" i="2"/>
  <c r="Y139" i="2"/>
  <c r="Y140" i="2"/>
  <c r="Y141" i="2"/>
  <c r="Y142" i="2"/>
  <c r="Y143" i="2"/>
  <c r="Y144" i="2"/>
  <c r="Y145" i="2"/>
  <c r="Y146" i="2"/>
  <c r="Y147" i="2"/>
  <c r="Y148" i="2"/>
  <c r="Y149" i="2"/>
  <c r="Y150" i="2"/>
  <c r="Y151" i="2"/>
  <c r="Y152" i="2"/>
  <c r="Y153" i="2"/>
  <c r="Y154" i="2"/>
  <c r="Y155" i="2"/>
  <c r="Y156" i="2"/>
  <c r="Y157" i="2"/>
  <c r="Y158" i="2"/>
  <c r="Y159" i="2"/>
  <c r="Y160" i="2"/>
  <c r="Y161" i="2"/>
  <c r="Y162" i="2"/>
  <c r="Y163" i="2"/>
  <c r="Y164" i="2"/>
  <c r="Y165" i="2"/>
  <c r="Y166" i="2"/>
  <c r="Y167" i="2"/>
  <c r="Y168" i="2"/>
  <c r="Y169" i="2"/>
  <c r="Y170" i="2"/>
  <c r="Y171" i="2"/>
  <c r="Y172" i="2"/>
  <c r="Y173" i="2"/>
  <c r="Y174" i="2"/>
  <c r="Y175" i="2"/>
  <c r="Y176" i="2"/>
  <c r="Y177" i="2"/>
  <c r="Y178" i="2"/>
  <c r="Y179" i="2"/>
  <c r="Y180" i="2"/>
  <c r="Y181" i="2"/>
  <c r="Y182" i="2"/>
  <c r="Y183" i="2"/>
  <c r="Y184" i="2"/>
  <c r="Y185" i="2"/>
  <c r="Y186" i="2"/>
  <c r="Y187" i="2"/>
  <c r="Y188" i="2"/>
  <c r="Y189" i="2"/>
  <c r="Y190" i="2"/>
  <c r="Y191" i="2"/>
  <c r="Y192" i="2"/>
  <c r="Y193" i="2"/>
  <c r="Y194" i="2"/>
  <c r="Y195" i="2"/>
  <c r="Y196" i="2"/>
  <c r="Y197" i="2"/>
  <c r="Y198" i="2"/>
  <c r="Y199" i="2"/>
  <c r="Y200" i="2"/>
  <c r="Y201" i="2"/>
  <c r="Y202" i="2"/>
  <c r="Y203" i="2"/>
  <c r="Y204" i="2"/>
  <c r="Y205" i="2"/>
  <c r="Y206" i="2"/>
  <c r="Y207" i="2"/>
  <c r="Y208" i="2"/>
  <c r="Y209" i="2"/>
  <c r="Y210" i="2"/>
  <c r="Y213" i="2"/>
  <c r="Y214" i="2"/>
  <c r="Y215" i="2"/>
  <c r="Y216" i="2"/>
  <c r="Y217" i="2"/>
  <c r="Y218" i="2"/>
  <c r="Y219" i="2"/>
  <c r="Y220" i="2"/>
  <c r="Y221" i="2"/>
  <c r="Y222" i="2"/>
  <c r="Y223" i="2"/>
  <c r="Y224" i="2"/>
  <c r="Y225" i="2"/>
  <c r="Y226" i="2"/>
  <c r="Y227" i="2"/>
  <c r="Y228" i="2"/>
  <c r="Y229" i="2"/>
  <c r="Y230" i="2"/>
  <c r="Y231" i="2"/>
  <c r="Y232" i="2"/>
  <c r="Y233" i="2"/>
  <c r="Y234" i="2"/>
  <c r="Y235" i="2"/>
  <c r="Y236" i="2"/>
  <c r="Y237" i="2"/>
  <c r="Y238" i="2"/>
  <c r="Y239" i="2"/>
  <c r="Y240" i="2"/>
  <c r="Y241" i="2"/>
  <c r="Y242" i="2"/>
  <c r="Y243" i="2"/>
  <c r="Y244" i="2"/>
  <c r="Y245" i="2"/>
  <c r="Y246" i="2"/>
  <c r="Y247" i="2"/>
  <c r="Y248" i="2"/>
  <c r="Y249" i="2"/>
  <c r="Y250" i="2"/>
  <c r="Y251" i="2"/>
  <c r="Y252" i="2"/>
  <c r="Y253" i="2"/>
  <c r="Y254" i="2"/>
  <c r="Y255" i="2"/>
  <c r="Y256" i="2"/>
  <c r="Y257" i="2"/>
  <c r="Y258" i="2"/>
  <c r="Y5" i="2"/>
  <c r="Y6" i="2"/>
  <c r="Y7" i="2"/>
  <c r="Y8" i="2"/>
  <c r="Y9" i="2"/>
  <c r="Y10" i="2"/>
  <c r="Y11" i="2"/>
  <c r="Y4" i="2"/>
  <c r="X83" i="2"/>
  <c r="X86" i="2"/>
  <c r="X95" i="2"/>
  <c r="X97" i="2"/>
  <c r="X217" i="2"/>
  <c r="X216" i="2"/>
  <c r="X215" i="2"/>
  <c r="X214" i="2"/>
  <c r="X213" i="2"/>
  <c r="X229" i="2"/>
  <c r="X228" i="2"/>
  <c r="X222" i="2"/>
  <c r="X223" i="2"/>
  <c r="X224" i="2"/>
  <c r="X225" i="2"/>
  <c r="X226" i="2"/>
  <c r="X227" i="2"/>
  <c r="X221" i="2"/>
  <c r="X243" i="2"/>
  <c r="X244" i="2"/>
  <c r="X245" i="2"/>
  <c r="X242" i="2"/>
  <c r="X258" i="2"/>
  <c r="X257" i="2"/>
  <c r="W260" i="2"/>
  <c r="V50" i="2"/>
  <c r="Y50" i="2" s="1"/>
  <c r="V51" i="2"/>
  <c r="Y51" i="2" s="1"/>
  <c r="V52" i="2"/>
  <c r="V53" i="2"/>
  <c r="Y53" i="2" s="1"/>
  <c r="V54" i="2"/>
  <c r="Y54" i="2" s="1"/>
  <c r="V55" i="2"/>
  <c r="Y55" i="2" s="1"/>
  <c r="V49" i="2"/>
  <c r="V89" i="2"/>
  <c r="V90" i="2"/>
  <c r="Y90" i="2" s="1"/>
  <c r="V91" i="2"/>
  <c r="Y91" i="2" s="1"/>
  <c r="V92" i="2"/>
  <c r="Y92" i="2" s="1"/>
  <c r="V93" i="2"/>
  <c r="Y93" i="2" s="1"/>
  <c r="V88" i="2"/>
  <c r="V97" i="2"/>
  <c r="V259" i="2"/>
  <c r="Y259" i="2" s="1"/>
  <c r="K260" i="2"/>
  <c r="O260" i="2"/>
  <c r="S260" i="2"/>
  <c r="U260" i="2"/>
  <c r="T6" i="2"/>
  <c r="T23" i="2"/>
  <c r="T24" i="2"/>
  <c r="T25" i="2"/>
  <c r="T34" i="2"/>
  <c r="T38" i="2"/>
  <c r="T39" i="2"/>
  <c r="T40" i="2"/>
  <c r="T44" i="2"/>
  <c r="Q212" i="2"/>
  <c r="Q211" i="2"/>
  <c r="Q39" i="2"/>
  <c r="Q38" i="2"/>
  <c r="AC4" i="2"/>
  <c r="M258" i="2"/>
  <c r="M95" i="2"/>
  <c r="M93" i="2"/>
  <c r="M91" i="2"/>
  <c r="M90" i="2"/>
  <c r="M89" i="2"/>
  <c r="M88" i="2"/>
  <c r="M86" i="2"/>
  <c r="L52" i="2"/>
  <c r="AC15" i="2"/>
  <c r="AC16" i="2"/>
  <c r="AC17" i="2"/>
  <c r="AC18" i="2"/>
  <c r="AC19" i="2"/>
  <c r="AC20" i="2"/>
  <c r="AC23" i="2"/>
  <c r="AC24" i="2"/>
  <c r="AC25" i="2"/>
  <c r="AC26" i="2"/>
  <c r="AC27" i="2"/>
  <c r="AC28" i="2"/>
  <c r="AC31" i="2"/>
  <c r="AC32" i="2"/>
  <c r="AC33" i="2"/>
  <c r="AC34" i="2"/>
  <c r="AC35" i="2"/>
  <c r="AC36" i="2"/>
  <c r="AC39" i="2"/>
  <c r="AC40" i="2"/>
  <c r="AC41" i="2"/>
  <c r="AC42" i="2"/>
  <c r="AC43" i="2"/>
  <c r="AC44" i="2"/>
  <c r="AC47" i="2"/>
  <c r="AC48" i="2"/>
  <c r="AC49" i="2"/>
  <c r="AC50" i="2"/>
  <c r="AC51" i="2"/>
  <c r="AC52" i="2"/>
  <c r="AC55" i="2"/>
  <c r="AC56" i="2"/>
  <c r="AC57" i="2"/>
  <c r="AC58" i="2"/>
  <c r="AC59" i="2"/>
  <c r="AC60" i="2"/>
  <c r="AC63" i="2"/>
  <c r="AC64" i="2"/>
  <c r="AC65" i="2"/>
  <c r="AC66" i="2"/>
  <c r="AC67" i="2"/>
  <c r="AC68" i="2"/>
  <c r="AC71" i="2"/>
  <c r="AC72" i="2"/>
  <c r="AC73" i="2"/>
  <c r="AC74" i="2"/>
  <c r="AC75" i="2"/>
  <c r="AC76" i="2"/>
  <c r="AC79" i="2"/>
  <c r="AC80" i="2"/>
  <c r="AC81" i="2"/>
  <c r="AC82" i="2"/>
  <c r="AC83" i="2"/>
  <c r="AC84" i="2"/>
  <c r="AC87" i="2"/>
  <c r="AC88" i="2"/>
  <c r="AC89" i="2"/>
  <c r="AC90" i="2"/>
  <c r="AC91" i="2"/>
  <c r="AC92" i="2"/>
  <c r="AC95" i="2"/>
  <c r="AC96" i="2"/>
  <c r="AC97" i="2"/>
  <c r="AC98" i="2"/>
  <c r="AC99" i="2"/>
  <c r="AC100" i="2"/>
  <c r="AC103" i="2"/>
  <c r="AC104" i="2"/>
  <c r="AC105" i="2"/>
  <c r="AC106" i="2"/>
  <c r="AC107" i="2"/>
  <c r="AC108" i="2"/>
  <c r="AC111" i="2"/>
  <c r="AC112" i="2"/>
  <c r="AC113" i="2"/>
  <c r="AC114" i="2"/>
  <c r="AC115" i="2"/>
  <c r="AC116" i="2"/>
  <c r="AC119" i="2"/>
  <c r="AC120" i="2"/>
  <c r="AC121" i="2"/>
  <c r="AC122" i="2"/>
  <c r="AC123" i="2"/>
  <c r="AC124" i="2"/>
  <c r="AC127" i="2"/>
  <c r="AC128" i="2"/>
  <c r="AC129" i="2"/>
  <c r="AC130" i="2"/>
  <c r="AC131" i="2"/>
  <c r="AC132" i="2"/>
  <c r="AC135" i="2"/>
  <c r="AC136" i="2"/>
  <c r="AC137" i="2"/>
  <c r="AC138" i="2"/>
  <c r="AC139" i="2"/>
  <c r="AC140" i="2"/>
  <c r="AC143" i="2"/>
  <c r="AC144" i="2"/>
  <c r="AC145" i="2"/>
  <c r="AC146" i="2"/>
  <c r="AC147" i="2"/>
  <c r="AC148" i="2"/>
  <c r="AC151" i="2"/>
  <c r="AC152" i="2"/>
  <c r="AC153" i="2"/>
  <c r="AC154" i="2"/>
  <c r="AC155" i="2"/>
  <c r="AC156" i="2"/>
  <c r="AC159" i="2"/>
  <c r="AC160" i="2"/>
  <c r="AC161" i="2"/>
  <c r="AC162" i="2"/>
  <c r="AC163" i="2"/>
  <c r="AC164" i="2"/>
  <c r="AC167" i="2"/>
  <c r="AC168" i="2"/>
  <c r="AC169" i="2"/>
  <c r="AC170" i="2"/>
  <c r="AC171" i="2"/>
  <c r="AC172" i="2"/>
  <c r="AC175" i="2"/>
  <c r="AC176" i="2"/>
  <c r="AC177" i="2"/>
  <c r="AC178" i="2"/>
  <c r="AC179" i="2"/>
  <c r="AC180" i="2"/>
  <c r="AC183" i="2"/>
  <c r="AC184" i="2"/>
  <c r="AC185" i="2"/>
  <c r="AC186" i="2"/>
  <c r="AC187" i="2"/>
  <c r="AC188" i="2"/>
  <c r="AC191" i="2"/>
  <c r="AC192" i="2"/>
  <c r="AC193" i="2"/>
  <c r="AC194" i="2"/>
  <c r="AC195" i="2"/>
  <c r="AC196" i="2"/>
  <c r="AC199" i="2"/>
  <c r="AC200" i="2"/>
  <c r="AC201" i="2"/>
  <c r="AC202" i="2"/>
  <c r="AC203" i="2"/>
  <c r="AC204" i="2"/>
  <c r="AC207" i="2"/>
  <c r="AC208" i="2"/>
  <c r="AC209" i="2"/>
  <c r="AC210" i="2"/>
  <c r="AC211" i="2"/>
  <c r="AC212" i="2"/>
  <c r="AC215" i="2"/>
  <c r="AC216" i="2"/>
  <c r="AC217" i="2"/>
  <c r="AC218" i="2"/>
  <c r="AC219" i="2"/>
  <c r="AC220" i="2"/>
  <c r="AC223" i="2"/>
  <c r="AC224" i="2"/>
  <c r="AC225" i="2"/>
  <c r="AC226" i="2"/>
  <c r="AC227" i="2"/>
  <c r="AC228" i="2"/>
  <c r="AC231" i="2"/>
  <c r="AC232" i="2"/>
  <c r="AC233" i="2"/>
  <c r="AC234" i="2"/>
  <c r="AC235" i="2"/>
  <c r="AC236" i="2"/>
  <c r="AC239" i="2"/>
  <c r="AC240" i="2"/>
  <c r="AC241" i="2"/>
  <c r="AC242" i="2"/>
  <c r="AC243" i="2"/>
  <c r="AC244" i="2"/>
  <c r="AC247" i="2"/>
  <c r="AC248" i="2"/>
  <c r="AC249" i="2"/>
  <c r="AC250" i="2"/>
  <c r="AC251" i="2"/>
  <c r="AC252" i="2"/>
  <c r="AC255" i="2"/>
  <c r="AC256" i="2"/>
  <c r="AC257" i="2"/>
  <c r="AC258" i="2"/>
  <c r="AC259" i="2"/>
  <c r="AC7" i="2"/>
  <c r="AC8" i="2"/>
  <c r="AC9" i="2"/>
  <c r="AC10" i="2"/>
  <c r="AC11" i="2"/>
  <c r="AC12" i="2"/>
  <c r="H260" i="2"/>
  <c r="Y260" i="2" s="1"/>
  <c r="G212" i="2"/>
  <c r="Y212" i="2" s="1"/>
  <c r="G211" i="2"/>
  <c r="Y211" i="2" s="1"/>
  <c r="F33" i="2"/>
  <c r="F32" i="2"/>
  <c r="D5" i="2"/>
  <c r="Y52" i="2" l="1"/>
  <c r="J8" i="3"/>
  <c r="K8" i="3" l="1"/>
  <c r="J9" i="3"/>
  <c r="K9" i="3" l="1"/>
  <c r="J10" i="3"/>
  <c r="K10" i="3" l="1"/>
  <c r="J11" i="3"/>
  <c r="K11" i="3" l="1"/>
  <c r="J12" i="3"/>
  <c r="K12" i="3" l="1"/>
  <c r="J13" i="3"/>
  <c r="K13" i="3" l="1"/>
  <c r="J14" i="3"/>
  <c r="K14" i="3" l="1"/>
  <c r="J15" i="3"/>
  <c r="K15" i="3" l="1"/>
  <c r="J16" i="3"/>
  <c r="K16" i="3" l="1"/>
  <c r="J17" i="3"/>
  <c r="K17" i="3" l="1"/>
  <c r="J18" i="3"/>
  <c r="K18" i="3" l="1"/>
  <c r="J19" i="3"/>
  <c r="K19" i="3" l="1"/>
  <c r="J20" i="3"/>
  <c r="K20" i="3" l="1"/>
  <c r="J21" i="3"/>
  <c r="K21" i="3" l="1"/>
  <c r="J22" i="3"/>
  <c r="K22" i="3" l="1"/>
  <c r="J23" i="3"/>
  <c r="K23" i="3" l="1"/>
  <c r="J24" i="3"/>
  <c r="K24" i="3" l="1"/>
  <c r="J25" i="3"/>
  <c r="K25" i="3" l="1"/>
  <c r="J26" i="3"/>
  <c r="K26" i="3" l="1"/>
  <c r="J27" i="3"/>
  <c r="K27" i="3" l="1"/>
  <c r="J28" i="3"/>
  <c r="K28" i="3" l="1"/>
  <c r="J29" i="3"/>
  <c r="K29" i="3" l="1"/>
  <c r="J30" i="3"/>
  <c r="K30" i="3" l="1"/>
  <c r="J31" i="3"/>
  <c r="K31" i="3" l="1"/>
  <c r="J32" i="3"/>
  <c r="K32" i="3" l="1"/>
  <c r="J33" i="3"/>
  <c r="K33" i="3" l="1"/>
  <c r="J34" i="3"/>
  <c r="K34" i="3" l="1"/>
  <c r="J35" i="3"/>
  <c r="K35" i="3" l="1"/>
  <c r="J36" i="3"/>
  <c r="K36" i="3" l="1"/>
  <c r="J37" i="3"/>
  <c r="K37" i="3" l="1"/>
  <c r="J38" i="3"/>
  <c r="K38" i="3" l="1"/>
  <c r="J39" i="3"/>
  <c r="K39" i="3" l="1"/>
  <c r="J40" i="3"/>
  <c r="K40" i="3" l="1"/>
  <c r="J41" i="3"/>
  <c r="K41" i="3" l="1"/>
  <c r="J42" i="3"/>
  <c r="K42" i="3" l="1"/>
  <c r="J43" i="3"/>
  <c r="K43" i="3" l="1"/>
  <c r="J44" i="3"/>
  <c r="K44" i="3" l="1"/>
  <c r="J45" i="3"/>
  <c r="K45" i="3" l="1"/>
  <c r="J46" i="3"/>
  <c r="K46" i="3" l="1"/>
  <c r="J47" i="3"/>
  <c r="K47" i="3" l="1"/>
  <c r="J48" i="3"/>
  <c r="K48" i="3" l="1"/>
  <c r="J49" i="3"/>
  <c r="K49" i="3" l="1"/>
  <c r="J50" i="3"/>
  <c r="K50" i="3" l="1"/>
  <c r="J51" i="3"/>
  <c r="K51" i="3" l="1"/>
  <c r="J52" i="3"/>
  <c r="K52" i="3" l="1"/>
  <c r="J53" i="3"/>
  <c r="K53" i="3" l="1"/>
  <c r="J54" i="3"/>
  <c r="K54" i="3" l="1"/>
  <c r="J55" i="3"/>
  <c r="K55" i="3" l="1"/>
  <c r="J56" i="3"/>
  <c r="K56" i="3" l="1"/>
  <c r="J57" i="3"/>
  <c r="K57" i="3" l="1"/>
  <c r="J58" i="3"/>
  <c r="K58" i="3" l="1"/>
  <c r="J59" i="3"/>
  <c r="K59" i="3" l="1"/>
  <c r="J60" i="3"/>
  <c r="K60" i="3" l="1"/>
  <c r="J61" i="3"/>
  <c r="K61" i="3" l="1"/>
  <c r="J62" i="3"/>
  <c r="K62" i="3" l="1"/>
  <c r="J63" i="3"/>
  <c r="K63" i="3" l="1"/>
  <c r="J64" i="3"/>
  <c r="K64" i="3" l="1"/>
  <c r="J65" i="3"/>
  <c r="K65" i="3" l="1"/>
  <c r="J66" i="3"/>
  <c r="K66" i="3" l="1"/>
  <c r="J67" i="3"/>
  <c r="K67" i="3" l="1"/>
  <c r="J68" i="3"/>
  <c r="K68" i="3" l="1"/>
  <c r="J69" i="3"/>
  <c r="K69" i="3" l="1"/>
  <c r="J70" i="3"/>
  <c r="K70" i="3" l="1"/>
  <c r="J71" i="3"/>
  <c r="K71" i="3" l="1"/>
  <c r="J72" i="3"/>
  <c r="K72" i="3" l="1"/>
  <c r="J73" i="3"/>
  <c r="K73" i="3" l="1"/>
  <c r="J74" i="3"/>
  <c r="K74" i="3" l="1"/>
  <c r="J75" i="3"/>
  <c r="K75" i="3" l="1"/>
  <c r="J76" i="3"/>
  <c r="K76" i="3" l="1"/>
  <c r="J77" i="3"/>
  <c r="K77" i="3" l="1"/>
  <c r="J78" i="3"/>
  <c r="K78" i="3" l="1"/>
  <c r="J79" i="3"/>
  <c r="K79" i="3" l="1"/>
  <c r="J80" i="3"/>
  <c r="K80" i="3" l="1"/>
  <c r="J81" i="3"/>
  <c r="K81" i="3" l="1"/>
  <c r="J82" i="3"/>
  <c r="K82" i="3" l="1"/>
  <c r="J83" i="3"/>
  <c r="K83" i="3" l="1"/>
  <c r="J84" i="3"/>
  <c r="K84" i="3" l="1"/>
  <c r="J85" i="3"/>
  <c r="K85" i="3" l="1"/>
  <c r="J86" i="3"/>
  <c r="K86" i="3" l="1"/>
  <c r="J87" i="3"/>
  <c r="K87" i="3" l="1"/>
  <c r="J88" i="3"/>
  <c r="K88" i="3" l="1"/>
  <c r="J89" i="3"/>
  <c r="K89" i="3" l="1"/>
  <c r="J90" i="3"/>
  <c r="K90" i="3" l="1"/>
  <c r="J91" i="3"/>
  <c r="K91" i="3" l="1"/>
  <c r="J92" i="3"/>
  <c r="K92" i="3" l="1"/>
  <c r="J93" i="3"/>
  <c r="K93" i="3" l="1"/>
  <c r="J94" i="3"/>
  <c r="K94" i="3" l="1"/>
  <c r="J95" i="3"/>
  <c r="K95" i="3" l="1"/>
  <c r="J96" i="3"/>
  <c r="K96" i="3" l="1"/>
  <c r="J97" i="3"/>
  <c r="K97" i="3" l="1"/>
  <c r="J98" i="3"/>
  <c r="K98" i="3" l="1"/>
  <c r="J99" i="3"/>
  <c r="K99" i="3" l="1"/>
  <c r="J100" i="3"/>
  <c r="K100" i="3" l="1"/>
  <c r="J101" i="3"/>
  <c r="K101" i="3" l="1"/>
  <c r="J102" i="3"/>
  <c r="K102" i="3" l="1"/>
  <c r="J103" i="3"/>
  <c r="K103" i="3" l="1"/>
  <c r="J104" i="3"/>
  <c r="K104" i="3" l="1"/>
  <c r="J105" i="3"/>
  <c r="K105" i="3" l="1"/>
  <c r="J106" i="3"/>
  <c r="K106" i="3" l="1"/>
  <c r="J107" i="3"/>
  <c r="K107" i="3" l="1"/>
  <c r="J108" i="3"/>
  <c r="K108" i="3" l="1"/>
  <c r="J109" i="3"/>
  <c r="K109" i="3" l="1"/>
  <c r="J110" i="3"/>
  <c r="K110" i="3" l="1"/>
  <c r="J111" i="3"/>
  <c r="K111" i="3" l="1"/>
  <c r="J112" i="3"/>
  <c r="K112" i="3" l="1"/>
  <c r="J113" i="3"/>
  <c r="K113" i="3" l="1"/>
  <c r="J114" i="3"/>
  <c r="K114" i="3" l="1"/>
  <c r="J115" i="3"/>
  <c r="K115" i="3" l="1"/>
  <c r="J116" i="3"/>
  <c r="K116" i="3" l="1"/>
  <c r="J117" i="3"/>
  <c r="K117" i="3" l="1"/>
  <c r="J118" i="3"/>
  <c r="K118" i="3" l="1"/>
  <c r="J119" i="3"/>
  <c r="K119" i="3" l="1"/>
  <c r="J120" i="3"/>
  <c r="K120" i="3" l="1"/>
  <c r="J121" i="3"/>
  <c r="K121" i="3" l="1"/>
  <c r="J122" i="3"/>
  <c r="K122" i="3" l="1"/>
  <c r="J123" i="3"/>
  <c r="K123" i="3" l="1"/>
  <c r="J124" i="3"/>
  <c r="K124" i="3" l="1"/>
  <c r="J125" i="3"/>
  <c r="K125" i="3" l="1"/>
  <c r="J126" i="3"/>
  <c r="K126" i="3" l="1"/>
  <c r="J127" i="3"/>
  <c r="K127" i="3" l="1"/>
  <c r="J128" i="3"/>
  <c r="K128" i="3" l="1"/>
  <c r="J129" i="3"/>
  <c r="K129" i="3" l="1"/>
  <c r="J130" i="3"/>
  <c r="K130" i="3" l="1"/>
  <c r="J131" i="3"/>
  <c r="K131" i="3" l="1"/>
  <c r="J132" i="3"/>
  <c r="K132" i="3" l="1"/>
  <c r="J133" i="3"/>
  <c r="K133" i="3" l="1"/>
  <c r="J134" i="3"/>
  <c r="K134" i="3" l="1"/>
  <c r="J135" i="3"/>
  <c r="K135" i="3" l="1"/>
  <c r="J136" i="3"/>
  <c r="K136" i="3" l="1"/>
  <c r="J137" i="3"/>
  <c r="K137" i="3" l="1"/>
  <c r="J138" i="3"/>
  <c r="K138" i="3" l="1"/>
  <c r="J139" i="3"/>
  <c r="K139" i="3" l="1"/>
  <c r="J140" i="3"/>
  <c r="K140" i="3" l="1"/>
  <c r="J141" i="3"/>
  <c r="K141" i="3" l="1"/>
  <c r="J142" i="3"/>
  <c r="K142" i="3" l="1"/>
  <c r="J143" i="3"/>
  <c r="K143" i="3" l="1"/>
  <c r="J144" i="3"/>
  <c r="K144" i="3" l="1"/>
  <c r="J145" i="3"/>
  <c r="K145" i="3" l="1"/>
  <c r="J146" i="3"/>
  <c r="K146" i="3" l="1"/>
  <c r="J147" i="3"/>
  <c r="K147" i="3" l="1"/>
  <c r="J148" i="3"/>
  <c r="K148" i="3" l="1"/>
  <c r="J149" i="3"/>
  <c r="K149" i="3" l="1"/>
  <c r="J150" i="3"/>
  <c r="K150" i="3" l="1"/>
  <c r="J151" i="3"/>
  <c r="K151" i="3" l="1"/>
  <c r="J152" i="3"/>
  <c r="K152" i="3" l="1"/>
  <c r="J153" i="3"/>
  <c r="K153" i="3" l="1"/>
  <c r="J154" i="3"/>
  <c r="K154" i="3" l="1"/>
  <c r="J155" i="3"/>
  <c r="K155" i="3" l="1"/>
  <c r="J156" i="3"/>
  <c r="K156" i="3" l="1"/>
  <c r="J157" i="3"/>
  <c r="K157" i="3" l="1"/>
  <c r="J158" i="3"/>
  <c r="K158" i="3" l="1"/>
  <c r="J159" i="3"/>
  <c r="K159" i="3" l="1"/>
  <c r="J160" i="3"/>
  <c r="K160" i="3" l="1"/>
  <c r="J161" i="3"/>
  <c r="K161" i="3" l="1"/>
  <c r="J162" i="3"/>
  <c r="K162" i="3" l="1"/>
  <c r="J163" i="3"/>
  <c r="K163" i="3" l="1"/>
  <c r="J164" i="3"/>
  <c r="K164" i="3" l="1"/>
  <c r="J165" i="3"/>
  <c r="K165" i="3" l="1"/>
  <c r="J166" i="3"/>
  <c r="K166" i="3" l="1"/>
  <c r="J167" i="3"/>
  <c r="K167" i="3" l="1"/>
  <c r="J168" i="3"/>
  <c r="K168" i="3" l="1"/>
  <c r="J169" i="3"/>
  <c r="K169" i="3" l="1"/>
  <c r="J170" i="3"/>
  <c r="K170" i="3" l="1"/>
  <c r="J171" i="3"/>
  <c r="K171" i="3" l="1"/>
  <c r="J172" i="3"/>
  <c r="K172" i="3" l="1"/>
  <c r="J173" i="3"/>
  <c r="K173" i="3" l="1"/>
  <c r="J174" i="3"/>
  <c r="K174" i="3" l="1"/>
  <c r="J175" i="3"/>
  <c r="K175" i="3" l="1"/>
  <c r="J176" i="3"/>
  <c r="K176" i="3" l="1"/>
  <c r="J177" i="3"/>
  <c r="K177" i="3" l="1"/>
  <c r="J178" i="3"/>
  <c r="K178" i="3" l="1"/>
  <c r="J179" i="3"/>
  <c r="K179" i="3" l="1"/>
  <c r="J180" i="3"/>
  <c r="K180" i="3" l="1"/>
  <c r="J181" i="3"/>
  <c r="K181" i="3" l="1"/>
  <c r="J182" i="3"/>
  <c r="K182" i="3" l="1"/>
  <c r="J183" i="3"/>
  <c r="K183" i="3" l="1"/>
  <c r="J184" i="3"/>
  <c r="K184" i="3" l="1"/>
  <c r="J185" i="3"/>
  <c r="K185" i="3" l="1"/>
  <c r="J186" i="3"/>
  <c r="K186" i="3" l="1"/>
  <c r="J187" i="3"/>
  <c r="K187" i="3" l="1"/>
  <c r="J188" i="3"/>
  <c r="K188" i="3" l="1"/>
  <c r="J189" i="3"/>
  <c r="K189" i="3" l="1"/>
  <c r="J190" i="3"/>
  <c r="K190" i="3" l="1"/>
  <c r="J191" i="3"/>
  <c r="K191" i="3" l="1"/>
  <c r="J192" i="3"/>
  <c r="K192" i="3" l="1"/>
  <c r="J193" i="3"/>
  <c r="K193" i="3" l="1"/>
  <c r="J194" i="3"/>
  <c r="K194" i="3" l="1"/>
  <c r="J195" i="3"/>
  <c r="K195" i="3" l="1"/>
  <c r="J196" i="3"/>
  <c r="K196" i="3" l="1"/>
  <c r="J197" i="3"/>
  <c r="K197" i="3" l="1"/>
  <c r="J198" i="3"/>
  <c r="K198" i="3" l="1"/>
  <c r="J199" i="3"/>
  <c r="K199" i="3" l="1"/>
  <c r="J200" i="3"/>
  <c r="K200" i="3" l="1"/>
  <c r="J201" i="3"/>
  <c r="K201" i="3" l="1"/>
  <c r="J202" i="3"/>
  <c r="K202" i="3" l="1"/>
  <c r="J203" i="3"/>
  <c r="K203" i="3" l="1"/>
  <c r="J204" i="3"/>
  <c r="K204" i="3" l="1"/>
  <c r="J205" i="3"/>
  <c r="K205" i="3" l="1"/>
  <c r="J206" i="3"/>
  <c r="K206" i="3" l="1"/>
  <c r="J207" i="3"/>
  <c r="K207" i="3" l="1"/>
  <c r="J208" i="3"/>
  <c r="K208" i="3" l="1"/>
  <c r="J209" i="3"/>
  <c r="K209" i="3" l="1"/>
  <c r="J210" i="3"/>
  <c r="K210" i="3" l="1"/>
  <c r="J211" i="3"/>
  <c r="K211" i="3" l="1"/>
  <c r="J212" i="3"/>
  <c r="K212" i="3" l="1"/>
  <c r="J213" i="3"/>
  <c r="K213" i="3" l="1"/>
  <c r="J214" i="3"/>
  <c r="K214" i="3" l="1"/>
  <c r="J215" i="3"/>
  <c r="K215" i="3" l="1"/>
  <c r="J216" i="3"/>
  <c r="K216" i="3" l="1"/>
  <c r="J217" i="3"/>
  <c r="K217" i="3" l="1"/>
  <c r="J218" i="3"/>
  <c r="K218" i="3" l="1"/>
  <c r="J219" i="3"/>
  <c r="K219" i="3" l="1"/>
  <c r="J220" i="3"/>
  <c r="K220" i="3" l="1"/>
  <c r="J221" i="3"/>
  <c r="K221" i="3" l="1"/>
  <c r="J222" i="3"/>
  <c r="K222" i="3" l="1"/>
  <c r="J223" i="3"/>
  <c r="K223" i="3" l="1"/>
  <c r="J224" i="3"/>
  <c r="K224" i="3" l="1"/>
  <c r="J225" i="3"/>
  <c r="K225" i="3" l="1"/>
  <c r="J226" i="3"/>
  <c r="K226" i="3" l="1"/>
  <c r="J227" i="3"/>
  <c r="K227" i="3" l="1"/>
  <c r="J228" i="3"/>
  <c r="K228" i="3" l="1"/>
  <c r="J229" i="3"/>
  <c r="K229" i="3" l="1"/>
  <c r="J230" i="3"/>
  <c r="K230" i="3" l="1"/>
  <c r="J231" i="3"/>
  <c r="K231" i="3" l="1"/>
  <c r="J232" i="3"/>
  <c r="K232" i="3" l="1"/>
  <c r="J233" i="3"/>
  <c r="K233" i="3" l="1"/>
  <c r="J234" i="3"/>
  <c r="K234" i="3" l="1"/>
  <c r="J235" i="3"/>
  <c r="K235" i="3" l="1"/>
  <c r="J236" i="3"/>
  <c r="K236" i="3" l="1"/>
  <c r="J237" i="3"/>
  <c r="K237" i="3" l="1"/>
  <c r="J238" i="3"/>
  <c r="K238" i="3" l="1"/>
  <c r="J239" i="3"/>
  <c r="K239" i="3" l="1"/>
  <c r="J240" i="3"/>
  <c r="K240" i="3" l="1"/>
  <c r="J241" i="3"/>
  <c r="K241" i="3" l="1"/>
  <c r="J242" i="3"/>
  <c r="K242" i="3" l="1"/>
  <c r="J243" i="3"/>
  <c r="K243" i="3" l="1"/>
  <c r="J244" i="3"/>
  <c r="K244" i="3" l="1"/>
  <c r="J245" i="3"/>
  <c r="K245" i="3" l="1"/>
  <c r="J246" i="3"/>
  <c r="K246" i="3" l="1"/>
  <c r="J247" i="3"/>
  <c r="K247" i="3" l="1"/>
  <c r="J248" i="3"/>
  <c r="K248" i="3" l="1"/>
  <c r="J249" i="3"/>
  <c r="K249" i="3" l="1"/>
  <c r="J250" i="3"/>
  <c r="K250" i="3" l="1"/>
  <c r="J251" i="3"/>
  <c r="K251" i="3" l="1"/>
  <c r="J252" i="3"/>
  <c r="K252" i="3" l="1"/>
  <c r="J253" i="3"/>
  <c r="K253" i="3" l="1"/>
  <c r="J254" i="3"/>
  <c r="K254" i="3" l="1"/>
  <c r="J255" i="3"/>
  <c r="K255" i="3" l="1"/>
  <c r="J256" i="3"/>
  <c r="K256" i="3" l="1"/>
  <c r="J257" i="3"/>
  <c r="K257" i="3" l="1"/>
  <c r="J258" i="3"/>
  <c r="K258" i="3" l="1"/>
  <c r="J259" i="3"/>
  <c r="K259" i="3" l="1"/>
  <c r="J260" i="3"/>
  <c r="K260" i="3" l="1"/>
  <c r="J261" i="3"/>
  <c r="K261" i="3" l="1"/>
  <c r="J262" i="3"/>
  <c r="J263" i="3" l="1"/>
  <c r="K262" i="3"/>
  <c r="K263" i="3" l="1"/>
  <c r="J264" i="3"/>
  <c r="K264" i="3" l="1"/>
  <c r="J265" i="3"/>
  <c r="K265" i="3" l="1"/>
  <c r="J266" i="3"/>
  <c r="K266" i="3" l="1"/>
  <c r="J267" i="3"/>
  <c r="K267" i="3" l="1"/>
  <c r="J268" i="3"/>
  <c r="K268" i="3" l="1"/>
  <c r="J269" i="3"/>
  <c r="K269" i="3" l="1"/>
  <c r="J270" i="3"/>
  <c r="K270" i="3" l="1"/>
  <c r="J271" i="3"/>
  <c r="K271" i="3" l="1"/>
  <c r="J272" i="3"/>
  <c r="K272" i="3" l="1"/>
  <c r="J273" i="3"/>
  <c r="K273" i="3" l="1"/>
  <c r="J274" i="3"/>
  <c r="K274" i="3" l="1"/>
  <c r="J275" i="3"/>
  <c r="K275" i="3" l="1"/>
  <c r="J276" i="3"/>
  <c r="K276" i="3" l="1"/>
  <c r="J277" i="3"/>
  <c r="K277" i="3" l="1"/>
  <c r="J278" i="3"/>
  <c r="K278" i="3" l="1"/>
  <c r="J279" i="3"/>
  <c r="K279" i="3" l="1"/>
  <c r="J280" i="3"/>
  <c r="K280" i="3" l="1"/>
  <c r="J281" i="3"/>
  <c r="K281" i="3" l="1"/>
  <c r="J282" i="3"/>
  <c r="K282" i="3" l="1"/>
  <c r="J283" i="3"/>
  <c r="K283" i="3" l="1"/>
  <c r="J284" i="3"/>
  <c r="K284" i="3" l="1"/>
  <c r="J285" i="3"/>
  <c r="K285" i="3" l="1"/>
  <c r="J286" i="3"/>
  <c r="J287" i="3" l="1"/>
  <c r="K286" i="3"/>
  <c r="K287" i="3" l="1"/>
  <c r="J288" i="3"/>
  <c r="K288" i="3" l="1"/>
  <c r="J289" i="3"/>
  <c r="K289" i="3" l="1"/>
  <c r="J290" i="3"/>
  <c r="K290" i="3" l="1"/>
  <c r="J291" i="3"/>
  <c r="K291" i="3" l="1"/>
  <c r="J292" i="3"/>
  <c r="K292" i="3" l="1"/>
  <c r="J293" i="3"/>
  <c r="K293" i="3" l="1"/>
  <c r="J294" i="3"/>
  <c r="J295" i="3" l="1"/>
  <c r="K294" i="3"/>
  <c r="K295" i="3" l="1"/>
  <c r="J296" i="3"/>
  <c r="K296" i="3" l="1"/>
  <c r="J297" i="3"/>
  <c r="K297" i="3" l="1"/>
  <c r="J298" i="3"/>
  <c r="K298" i="3" l="1"/>
  <c r="J299" i="3"/>
  <c r="K299" i="3" l="1"/>
  <c r="J300" i="3"/>
  <c r="K300" i="3" l="1"/>
  <c r="J301" i="3"/>
  <c r="K301" i="3" l="1"/>
  <c r="J302" i="3"/>
  <c r="J303" i="3" l="1"/>
  <c r="K302" i="3"/>
  <c r="K303" i="3" l="1"/>
  <c r="J304" i="3"/>
  <c r="K304" i="3" l="1"/>
  <c r="J305" i="3"/>
  <c r="K305" i="3" l="1"/>
  <c r="J306" i="3"/>
  <c r="K306" i="3" l="1"/>
  <c r="J307" i="3"/>
  <c r="K307" i="3" l="1"/>
  <c r="J308" i="3"/>
  <c r="K308" i="3" l="1"/>
  <c r="J309" i="3"/>
  <c r="K309" i="3" l="1"/>
  <c r="J310" i="3"/>
  <c r="J311" i="3" l="1"/>
  <c r="K310" i="3"/>
  <c r="K311" i="3" l="1"/>
  <c r="J312" i="3"/>
  <c r="K312" i="3" l="1"/>
  <c r="J313" i="3"/>
  <c r="K313" i="3" l="1"/>
  <c r="J314" i="3"/>
  <c r="K314" i="3" l="1"/>
  <c r="J315" i="3"/>
  <c r="K315" i="3" l="1"/>
  <c r="J316" i="3"/>
  <c r="K316" i="3" l="1"/>
  <c r="J317" i="3"/>
  <c r="K317" i="3" l="1"/>
  <c r="J318" i="3"/>
  <c r="J319" i="3" l="1"/>
  <c r="K318" i="3"/>
  <c r="K319" i="3" l="1"/>
  <c r="J320" i="3"/>
  <c r="K320" i="3" l="1"/>
  <c r="J321" i="3"/>
  <c r="K321" i="3" l="1"/>
  <c r="J322" i="3"/>
  <c r="K322" i="3" l="1"/>
  <c r="J323" i="3"/>
  <c r="K323" i="3" l="1"/>
  <c r="J324" i="3"/>
  <c r="K324" i="3" l="1"/>
  <c r="J325" i="3"/>
  <c r="K325" i="3" l="1"/>
  <c r="J326" i="3"/>
  <c r="J327" i="3" l="1"/>
  <c r="K326" i="3"/>
  <c r="K327" i="3" l="1"/>
  <c r="J328" i="3"/>
  <c r="K328" i="3" l="1"/>
  <c r="J329" i="3"/>
  <c r="K329" i="3" l="1"/>
  <c r="J330" i="3"/>
  <c r="K330" i="3" l="1"/>
  <c r="J331" i="3"/>
  <c r="K331" i="3" l="1"/>
  <c r="J332" i="3"/>
  <c r="K332" i="3" l="1"/>
  <c r="J333" i="3"/>
  <c r="K333" i="3" l="1"/>
  <c r="J334" i="3"/>
  <c r="K334" i="3" l="1"/>
  <c r="J335" i="3"/>
  <c r="K335" i="3" l="1"/>
  <c r="J336" i="3"/>
  <c r="K336" i="3" l="1"/>
  <c r="J337" i="3"/>
  <c r="K337" i="3" l="1"/>
  <c r="J338" i="3"/>
  <c r="K338" i="3" l="1"/>
  <c r="J339" i="3"/>
  <c r="K339" i="3" l="1"/>
  <c r="J340" i="3"/>
  <c r="K340" i="3" l="1"/>
  <c r="J341" i="3"/>
  <c r="K341" i="3" l="1"/>
  <c r="J342" i="3"/>
  <c r="K342" i="3" l="1"/>
  <c r="J343" i="3"/>
  <c r="K343" i="3" l="1"/>
  <c r="J344" i="3"/>
  <c r="K344" i="3" l="1"/>
  <c r="J345" i="3"/>
  <c r="K345" i="3" l="1"/>
  <c r="J346" i="3"/>
  <c r="K346" i="3" l="1"/>
  <c r="J347" i="3"/>
  <c r="K347" i="3" l="1"/>
  <c r="J348" i="3"/>
  <c r="K348" i="3" l="1"/>
  <c r="J349" i="3"/>
  <c r="K349" i="3" l="1"/>
  <c r="J350" i="3"/>
  <c r="J351" i="3" l="1"/>
  <c r="K350" i="3"/>
  <c r="K351" i="3" l="1"/>
  <c r="J352" i="3"/>
  <c r="K352" i="3" l="1"/>
  <c r="J353" i="3"/>
  <c r="K353" i="3" l="1"/>
  <c r="J354" i="3"/>
  <c r="K354" i="3" l="1"/>
  <c r="J355" i="3"/>
  <c r="K355" i="3" l="1"/>
  <c r="J356" i="3"/>
  <c r="K356" i="3" l="1"/>
  <c r="J357" i="3"/>
  <c r="K357" i="3" l="1"/>
  <c r="J358" i="3"/>
  <c r="J359" i="3" l="1"/>
  <c r="K358" i="3"/>
  <c r="K359" i="3" l="1"/>
  <c r="J360" i="3"/>
  <c r="K360" i="3" l="1"/>
  <c r="J361" i="3"/>
  <c r="K361" i="3" l="1"/>
  <c r="J362" i="3"/>
  <c r="K362" i="3" l="1"/>
  <c r="J363" i="3"/>
  <c r="K363" i="3" l="1"/>
  <c r="J364" i="3"/>
  <c r="K364" i="3" l="1"/>
  <c r="J365" i="3"/>
  <c r="K365" i="3" l="1"/>
  <c r="J366" i="3"/>
  <c r="J367" i="3" l="1"/>
  <c r="K366" i="3"/>
  <c r="K367" i="3" l="1"/>
  <c r="J368" i="3"/>
  <c r="K368" i="3" l="1"/>
  <c r="J369" i="3"/>
  <c r="K369" i="3" l="1"/>
  <c r="J370" i="3"/>
  <c r="K370" i="3" l="1"/>
  <c r="J371" i="3"/>
  <c r="K371" i="3" l="1"/>
  <c r="J372" i="3"/>
  <c r="K372" i="3" l="1"/>
  <c r="J373" i="3"/>
  <c r="K373" i="3" l="1"/>
  <c r="J374" i="3"/>
  <c r="J375" i="3" l="1"/>
  <c r="K374" i="3"/>
  <c r="K375" i="3" l="1"/>
  <c r="J376" i="3"/>
  <c r="K376" i="3" l="1"/>
  <c r="J377" i="3"/>
  <c r="K377" i="3" l="1"/>
  <c r="J378" i="3"/>
  <c r="K378" i="3" l="1"/>
  <c r="J379" i="3"/>
  <c r="K379" i="3" l="1"/>
  <c r="J380" i="3"/>
  <c r="K380" i="3" l="1"/>
  <c r="J381" i="3"/>
  <c r="K381" i="3" l="1"/>
  <c r="J382" i="3"/>
  <c r="J383" i="3" l="1"/>
  <c r="K382" i="3"/>
  <c r="K383" i="3" l="1"/>
  <c r="J384" i="3"/>
  <c r="K384" i="3" l="1"/>
  <c r="J385" i="3"/>
  <c r="K385" i="3" l="1"/>
  <c r="J386" i="3"/>
  <c r="K386" i="3" l="1"/>
  <c r="J387" i="3"/>
  <c r="K387" i="3" l="1"/>
  <c r="J388" i="3"/>
  <c r="K388" i="3" l="1"/>
  <c r="J389" i="3"/>
  <c r="K389" i="3" l="1"/>
  <c r="J390" i="3"/>
  <c r="J391" i="3" l="1"/>
  <c r="K390" i="3"/>
  <c r="K391" i="3" l="1"/>
  <c r="J392" i="3"/>
  <c r="K392" i="3" l="1"/>
  <c r="J393" i="3"/>
  <c r="K393" i="3" l="1"/>
  <c r="J394" i="3"/>
  <c r="K394" i="3" l="1"/>
  <c r="J395" i="3"/>
  <c r="K395" i="3" l="1"/>
  <c r="J396" i="3"/>
  <c r="K396" i="3" l="1"/>
  <c r="J397" i="3"/>
  <c r="K397" i="3" l="1"/>
  <c r="J398" i="3"/>
  <c r="K398" i="3" l="1"/>
  <c r="J399" i="3"/>
  <c r="K399" i="3" l="1"/>
  <c r="J400" i="3"/>
  <c r="K400" i="3" l="1"/>
  <c r="J401" i="3"/>
  <c r="K401" i="3" l="1"/>
  <c r="J402" i="3"/>
  <c r="K402" i="3" l="1"/>
  <c r="J403" i="3"/>
  <c r="K403" i="3" l="1"/>
  <c r="J404" i="3"/>
  <c r="K404" i="3" l="1"/>
  <c r="J405" i="3"/>
  <c r="K405" i="3" l="1"/>
  <c r="J406" i="3"/>
  <c r="K406" i="3" l="1"/>
  <c r="J407" i="3"/>
  <c r="K407" i="3" l="1"/>
  <c r="J408" i="3"/>
  <c r="K408" i="3" l="1"/>
  <c r="J409" i="3"/>
  <c r="K409" i="3" l="1"/>
  <c r="J410" i="3"/>
  <c r="K410" i="3" l="1"/>
  <c r="J411" i="3"/>
  <c r="K411" i="3" l="1"/>
  <c r="J412" i="3"/>
  <c r="K412" i="3" l="1"/>
  <c r="J413" i="3"/>
  <c r="K413" i="3" l="1"/>
  <c r="J414" i="3"/>
  <c r="K414" i="3" l="1"/>
  <c r="J415" i="3"/>
  <c r="K415" i="3" l="1"/>
  <c r="J416" i="3"/>
  <c r="K416" i="3" l="1"/>
  <c r="J417" i="3"/>
  <c r="K417" i="3" l="1"/>
  <c r="J418" i="3"/>
  <c r="K418" i="3" l="1"/>
  <c r="J419" i="3"/>
  <c r="K419" i="3" l="1"/>
  <c r="J420" i="3"/>
  <c r="K420" i="3" l="1"/>
  <c r="J421" i="3"/>
  <c r="K421" i="3" l="1"/>
  <c r="J422" i="3"/>
  <c r="K422" i="3" l="1"/>
  <c r="J423" i="3"/>
  <c r="K423" i="3" l="1"/>
  <c r="J424" i="3"/>
  <c r="K424" i="3" l="1"/>
  <c r="J425" i="3"/>
  <c r="K425" i="3" l="1"/>
  <c r="J426" i="3"/>
  <c r="K426" i="3" l="1"/>
  <c r="J427" i="3"/>
  <c r="K427" i="3" l="1"/>
  <c r="J428" i="3"/>
  <c r="K428" i="3" l="1"/>
  <c r="J429" i="3"/>
  <c r="K429" i="3" l="1"/>
  <c r="J430" i="3"/>
  <c r="J431" i="3" l="1"/>
  <c r="K430" i="3"/>
  <c r="K431" i="3" l="1"/>
  <c r="J432" i="3"/>
  <c r="K432" i="3" l="1"/>
  <c r="J433" i="3"/>
  <c r="K433" i="3" l="1"/>
  <c r="J434" i="3"/>
  <c r="K434" i="3" l="1"/>
  <c r="J435" i="3"/>
  <c r="K435" i="3" l="1"/>
  <c r="J436" i="3"/>
  <c r="K436" i="3" l="1"/>
  <c r="J437" i="3"/>
  <c r="K437" i="3" l="1"/>
  <c r="J438" i="3"/>
  <c r="J439" i="3" l="1"/>
  <c r="K438" i="3"/>
  <c r="K439" i="3" l="1"/>
  <c r="J440" i="3"/>
  <c r="K440" i="3" l="1"/>
  <c r="J441" i="3"/>
  <c r="K441" i="3" l="1"/>
  <c r="J442" i="3"/>
  <c r="K442" i="3" l="1"/>
  <c r="J443" i="3"/>
  <c r="K443" i="3" l="1"/>
  <c r="J444" i="3"/>
  <c r="K444" i="3" l="1"/>
  <c r="J445" i="3"/>
  <c r="K445" i="3" l="1"/>
  <c r="J446" i="3"/>
  <c r="J447" i="3" l="1"/>
  <c r="K446" i="3"/>
  <c r="K447" i="3" l="1"/>
  <c r="J448" i="3"/>
  <c r="K448" i="3" l="1"/>
  <c r="J449" i="3"/>
  <c r="K449" i="3" l="1"/>
  <c r="J450" i="3"/>
  <c r="K450" i="3" l="1"/>
  <c r="J451" i="3"/>
  <c r="K451" i="3" l="1"/>
  <c r="J452" i="3"/>
  <c r="K452" i="3" l="1"/>
  <c r="J453" i="3"/>
  <c r="K453" i="3" l="1"/>
  <c r="J454" i="3"/>
  <c r="J455" i="3" l="1"/>
  <c r="K454" i="3"/>
  <c r="K455" i="3" l="1"/>
  <c r="J456" i="3"/>
  <c r="K456" i="3" l="1"/>
  <c r="J457" i="3"/>
  <c r="K457" i="3" l="1"/>
  <c r="J458" i="3"/>
  <c r="K458" i="3" l="1"/>
  <c r="J459" i="3"/>
  <c r="K459" i="3" l="1"/>
  <c r="J460" i="3"/>
  <c r="K460" i="3" l="1"/>
  <c r="J461" i="3"/>
  <c r="K461" i="3" l="1"/>
  <c r="J462" i="3"/>
  <c r="K462" i="3" l="1"/>
  <c r="J463" i="3"/>
  <c r="K463" i="3" l="1"/>
  <c r="J464" i="3"/>
  <c r="K464" i="3" l="1"/>
  <c r="J465" i="3"/>
  <c r="K465" i="3" l="1"/>
  <c r="J466" i="3"/>
  <c r="K466" i="3" l="1"/>
  <c r="J467" i="3"/>
  <c r="K467" i="3" l="1"/>
  <c r="J468" i="3"/>
  <c r="K468" i="3" l="1"/>
  <c r="J469" i="3"/>
  <c r="K469" i="3" l="1"/>
  <c r="J470" i="3"/>
  <c r="K470" i="3" l="1"/>
  <c r="J471" i="3"/>
  <c r="K471" i="3" l="1"/>
  <c r="J472" i="3"/>
  <c r="K472" i="3" l="1"/>
  <c r="J473" i="3"/>
  <c r="K473" i="3" l="1"/>
  <c r="J474" i="3"/>
  <c r="K474" i="3" l="1"/>
  <c r="J475" i="3"/>
  <c r="K475" i="3" l="1"/>
  <c r="J476" i="3"/>
  <c r="K476" i="3" l="1"/>
  <c r="J477" i="3"/>
  <c r="K477" i="3" l="1"/>
  <c r="J478" i="3"/>
  <c r="J479" i="3" l="1"/>
  <c r="K478" i="3"/>
  <c r="K479" i="3" l="1"/>
  <c r="J480" i="3"/>
  <c r="K480" i="3" l="1"/>
  <c r="J481" i="3"/>
  <c r="K481" i="3" l="1"/>
  <c r="J482" i="3"/>
  <c r="K482" i="3" l="1"/>
  <c r="J483" i="3"/>
  <c r="K483" i="3" l="1"/>
  <c r="J484" i="3"/>
  <c r="K484" i="3" l="1"/>
  <c r="J485" i="3"/>
  <c r="K485" i="3" l="1"/>
  <c r="J486" i="3"/>
  <c r="J487" i="3" l="1"/>
  <c r="K486" i="3"/>
  <c r="K487" i="3" l="1"/>
  <c r="J488" i="3"/>
  <c r="K488" i="3" l="1"/>
  <c r="J489" i="3"/>
  <c r="K489" i="3" l="1"/>
  <c r="J490" i="3"/>
  <c r="K490" i="3" l="1"/>
  <c r="J491" i="3"/>
  <c r="K491" i="3" l="1"/>
  <c r="J492" i="3"/>
  <c r="K492" i="3" l="1"/>
  <c r="J493" i="3"/>
  <c r="K493" i="3" l="1"/>
  <c r="J494" i="3"/>
  <c r="J495" i="3" l="1"/>
  <c r="K494" i="3"/>
  <c r="K495" i="3" l="1"/>
  <c r="J496" i="3"/>
  <c r="K496" i="3" l="1"/>
  <c r="J497" i="3"/>
  <c r="K497" i="3" l="1"/>
  <c r="J498" i="3"/>
  <c r="K498" i="3" l="1"/>
  <c r="J499" i="3"/>
  <c r="K499" i="3" l="1"/>
  <c r="J500" i="3"/>
  <c r="K500" i="3" l="1"/>
  <c r="J501" i="3"/>
  <c r="K501" i="3" l="1"/>
  <c r="J502" i="3"/>
  <c r="J503" i="3" l="1"/>
  <c r="K502" i="3"/>
  <c r="K503" i="3" l="1"/>
  <c r="J504" i="3"/>
  <c r="K504" i="3" l="1"/>
  <c r="J505" i="3"/>
  <c r="K505" i="3" l="1"/>
  <c r="J506" i="3"/>
  <c r="K506" i="3" l="1"/>
  <c r="J507" i="3"/>
  <c r="K507" i="3" l="1"/>
  <c r="J508" i="3"/>
  <c r="K508" i="3" l="1"/>
  <c r="J509" i="3"/>
  <c r="K509" i="3" l="1"/>
  <c r="J510" i="3"/>
  <c r="J511" i="3" l="1"/>
  <c r="K510" i="3"/>
  <c r="K511" i="3" l="1"/>
  <c r="J512" i="3"/>
  <c r="K512" i="3" l="1"/>
  <c r="J513" i="3"/>
  <c r="K513" i="3" l="1"/>
  <c r="J514" i="3"/>
  <c r="K514" i="3" l="1"/>
  <c r="J515" i="3"/>
  <c r="K515" i="3" l="1"/>
  <c r="J516" i="3"/>
  <c r="K516" i="3" l="1"/>
  <c r="J517" i="3"/>
  <c r="K517" i="3" l="1"/>
  <c r="J518" i="3"/>
  <c r="J519" i="3" l="1"/>
  <c r="K518" i="3"/>
  <c r="K519" i="3" l="1"/>
  <c r="J520" i="3"/>
  <c r="K520" i="3" l="1"/>
  <c r="J521" i="3"/>
  <c r="K521" i="3" l="1"/>
  <c r="J522" i="3"/>
  <c r="K522" i="3" l="1"/>
  <c r="J523" i="3"/>
  <c r="K523" i="3" l="1"/>
  <c r="J524" i="3"/>
  <c r="K524" i="3" l="1"/>
  <c r="J525" i="3"/>
  <c r="K525" i="3" l="1"/>
  <c r="J526" i="3"/>
  <c r="K526" i="3" l="1"/>
  <c r="J527" i="3"/>
  <c r="K527" i="3" l="1"/>
  <c r="J528" i="3"/>
  <c r="K528" i="3" l="1"/>
  <c r="J529" i="3"/>
  <c r="K529" i="3" l="1"/>
  <c r="J530" i="3"/>
  <c r="K530" i="3" l="1"/>
  <c r="J531" i="3"/>
  <c r="K531" i="3" l="1"/>
  <c r="J532" i="3"/>
  <c r="K532" i="3" l="1"/>
  <c r="J533" i="3"/>
  <c r="K533" i="3" l="1"/>
  <c r="J534" i="3"/>
  <c r="K534" i="3" l="1"/>
  <c r="J535" i="3"/>
  <c r="K535" i="3" l="1"/>
  <c r="J536" i="3"/>
  <c r="K536" i="3" l="1"/>
  <c r="J537" i="3"/>
  <c r="K537" i="3" l="1"/>
  <c r="J538" i="3"/>
  <c r="K538" i="3" l="1"/>
  <c r="J539" i="3"/>
  <c r="K539" i="3" l="1"/>
  <c r="J540" i="3"/>
  <c r="K540" i="3" l="1"/>
  <c r="J541" i="3"/>
  <c r="K541" i="3" l="1"/>
  <c r="J542" i="3"/>
  <c r="J543" i="3" l="1"/>
  <c r="K542" i="3"/>
  <c r="K543" i="3" l="1"/>
  <c r="J544" i="3"/>
  <c r="K544" i="3" l="1"/>
  <c r="J545" i="3"/>
  <c r="K545" i="3" l="1"/>
  <c r="J546" i="3"/>
  <c r="K546" i="3" l="1"/>
  <c r="J547" i="3"/>
  <c r="K547" i="3" l="1"/>
  <c r="J548" i="3"/>
  <c r="K548" i="3" l="1"/>
  <c r="J549" i="3"/>
  <c r="K549" i="3" l="1"/>
  <c r="J550" i="3"/>
  <c r="K550" i="3" l="1"/>
  <c r="J551" i="3"/>
  <c r="K551" i="3" l="1"/>
  <c r="J552" i="3"/>
  <c r="K552" i="3" l="1"/>
  <c r="J553" i="3"/>
  <c r="K553" i="3" l="1"/>
  <c r="J554" i="3"/>
  <c r="K554" i="3" l="1"/>
  <c r="J555" i="3"/>
  <c r="K555" i="3" l="1"/>
  <c r="J556" i="3"/>
  <c r="K556" i="3" l="1"/>
  <c r="J557" i="3"/>
  <c r="K557" i="3" l="1"/>
  <c r="J558" i="3"/>
  <c r="K558" i="3" l="1"/>
  <c r="J559" i="3"/>
  <c r="K559" i="3" l="1"/>
  <c r="J560" i="3"/>
  <c r="K560" i="3" l="1"/>
  <c r="J561" i="3"/>
  <c r="K561" i="3" l="1"/>
  <c r="J562" i="3"/>
  <c r="K562" i="3" l="1"/>
  <c r="J563" i="3"/>
  <c r="K563" i="3" l="1"/>
  <c r="J564" i="3"/>
  <c r="K564" i="3" l="1"/>
  <c r="J565" i="3"/>
  <c r="K565" i="3" l="1"/>
  <c r="J566" i="3"/>
  <c r="K566" i="3" l="1"/>
  <c r="J567" i="3"/>
  <c r="K567" i="3" l="1"/>
  <c r="J568" i="3"/>
  <c r="K568" i="3" l="1"/>
  <c r="J569" i="3"/>
  <c r="K569" i="3" l="1"/>
  <c r="J570" i="3"/>
  <c r="K570" i="3" l="1"/>
  <c r="J571" i="3"/>
  <c r="K571" i="3" l="1"/>
  <c r="J572" i="3"/>
  <c r="K572" i="3" l="1"/>
  <c r="J573" i="3"/>
  <c r="K573" i="3" l="1"/>
  <c r="J574" i="3"/>
  <c r="K574" i="3" l="1"/>
  <c r="J575" i="3"/>
  <c r="K575" i="3" l="1"/>
  <c r="J576" i="3"/>
  <c r="K576" i="3" l="1"/>
  <c r="J577" i="3"/>
  <c r="K577" i="3" l="1"/>
  <c r="J578" i="3"/>
  <c r="K578" i="3" l="1"/>
  <c r="J579" i="3"/>
  <c r="K579" i="3" l="1"/>
  <c r="J580" i="3"/>
  <c r="K580" i="3" l="1"/>
  <c r="J581" i="3"/>
  <c r="K581" i="3" l="1"/>
  <c r="J582" i="3"/>
  <c r="K582" i="3" l="1"/>
  <c r="J583" i="3"/>
  <c r="K583" i="3" l="1"/>
  <c r="J584" i="3"/>
  <c r="K584" i="3" l="1"/>
  <c r="J585" i="3"/>
  <c r="K585" i="3" l="1"/>
  <c r="J586" i="3"/>
  <c r="K586" i="3" l="1"/>
  <c r="J587" i="3"/>
  <c r="K587" i="3" l="1"/>
  <c r="J588" i="3"/>
  <c r="K588" i="3" l="1"/>
  <c r="J589" i="3"/>
  <c r="K589" i="3" l="1"/>
  <c r="J590" i="3"/>
  <c r="K590" i="3" l="1"/>
  <c r="J591" i="3"/>
  <c r="K591" i="3" l="1"/>
  <c r="J592" i="3"/>
  <c r="K592" i="3" l="1"/>
  <c r="J593" i="3"/>
  <c r="K593" i="3" l="1"/>
  <c r="J594" i="3"/>
  <c r="K594" i="3" l="1"/>
  <c r="J595" i="3"/>
  <c r="K595" i="3" l="1"/>
  <c r="J596" i="3"/>
  <c r="K596" i="3" l="1"/>
  <c r="J597" i="3"/>
  <c r="K597" i="3" l="1"/>
  <c r="J598" i="3"/>
  <c r="K598" i="3" l="1"/>
  <c r="J599" i="3"/>
  <c r="K599" i="3" l="1"/>
  <c r="J600" i="3"/>
  <c r="K600" i="3" l="1"/>
  <c r="J601" i="3"/>
  <c r="K601" i="3" l="1"/>
  <c r="J602" i="3"/>
  <c r="K602" i="3" l="1"/>
  <c r="J603" i="3"/>
  <c r="K603" i="3" l="1"/>
  <c r="J604" i="3"/>
  <c r="K604" i="3" l="1"/>
  <c r="J605" i="3"/>
  <c r="K605" i="3" l="1"/>
  <c r="J606" i="3"/>
  <c r="K606" i="3" l="1"/>
  <c r="J607" i="3"/>
  <c r="K607" i="3" l="1"/>
  <c r="J608" i="3"/>
  <c r="K608" i="3" l="1"/>
  <c r="J609" i="3"/>
  <c r="K609" i="3" l="1"/>
  <c r="J610" i="3"/>
  <c r="K610" i="3" l="1"/>
  <c r="J611" i="3"/>
  <c r="K611" i="3" l="1"/>
  <c r="J612" i="3"/>
  <c r="K612" i="3" l="1"/>
  <c r="J613" i="3"/>
  <c r="K613" i="3" l="1"/>
  <c r="J614" i="3"/>
  <c r="K614" i="3" l="1"/>
  <c r="J615" i="3"/>
  <c r="K615" i="3" l="1"/>
  <c r="J616" i="3"/>
  <c r="K616" i="3" l="1"/>
  <c r="J617" i="3"/>
  <c r="K617" i="3" l="1"/>
  <c r="J618" i="3"/>
  <c r="K618" i="3" l="1"/>
  <c r="J619" i="3"/>
  <c r="K619" i="3" l="1"/>
  <c r="J620" i="3"/>
  <c r="K620" i="3" l="1"/>
  <c r="J621" i="3"/>
  <c r="K621" i="3" l="1"/>
  <c r="J622" i="3"/>
  <c r="J623" i="3" l="1"/>
  <c r="K622" i="3"/>
  <c r="K623" i="3" l="1"/>
  <c r="J624" i="3"/>
  <c r="K624" i="3" l="1"/>
  <c r="J625" i="3"/>
  <c r="K625" i="3" l="1"/>
  <c r="J626" i="3"/>
  <c r="K626" i="3" l="1"/>
  <c r="J627" i="3"/>
  <c r="K627" i="3" l="1"/>
  <c r="J628" i="3"/>
  <c r="K628" i="3" l="1"/>
  <c r="J629" i="3"/>
  <c r="K629" i="3" l="1"/>
  <c r="J630" i="3"/>
  <c r="J631" i="3" l="1"/>
  <c r="K630" i="3"/>
  <c r="K631" i="3" l="1"/>
  <c r="J632" i="3"/>
  <c r="K632" i="3" l="1"/>
  <c r="J633" i="3"/>
  <c r="K633" i="3" s="1"/>
</calcChain>
</file>

<file path=xl/sharedStrings.xml><?xml version="1.0" encoding="utf-8"?>
<sst xmlns="http://schemas.openxmlformats.org/spreadsheetml/2006/main" count="11716" uniqueCount="1843">
  <si>
    <t>Condition</t>
  </si>
  <si>
    <t>Fe</t>
  </si>
  <si>
    <t>Ni</t>
  </si>
  <si>
    <t>Cr</t>
  </si>
  <si>
    <t>Mn</t>
  </si>
  <si>
    <t>Al</t>
  </si>
  <si>
    <t>Si</t>
  </si>
  <si>
    <t>Ti</t>
  </si>
  <si>
    <t>S</t>
  </si>
  <si>
    <t>Density (kg/m^3)</t>
  </si>
  <si>
    <t>E (GPa)</t>
  </si>
  <si>
    <t>YS (MPa)</t>
  </si>
  <si>
    <t>TS (MPa)</t>
  </si>
  <si>
    <t>A%</t>
  </si>
  <si>
    <t>Hardness (HV)</t>
  </si>
  <si>
    <t>Fatigue strength (MPa)(N = 10^7)</t>
  </si>
  <si>
    <t>Melting point (°C)</t>
  </si>
  <si>
    <t>Maximum service Temperature (°C)</t>
  </si>
  <si>
    <t>Minimum service Temperature (°C)</t>
  </si>
  <si>
    <t>Thermal conductivity W/(m °C)</t>
  </si>
  <si>
    <t>cp J/(kg °C)</t>
  </si>
  <si>
    <t>Processing Properties</t>
  </si>
  <si>
    <t>metal press forming</t>
  </si>
  <si>
    <t xml:space="preserve">metal hot forming </t>
  </si>
  <si>
    <t xml:space="preserve">Metal cold forming </t>
  </si>
  <si>
    <t>Metal deep drowing</t>
  </si>
  <si>
    <t>Chemical composition</t>
  </si>
  <si>
    <t>Physical properties</t>
  </si>
  <si>
    <t>Mechanical properties</t>
  </si>
  <si>
    <t>Thermal Properties</t>
  </si>
  <si>
    <t>Fracture tougness (MPa m^0.5)</t>
  </si>
  <si>
    <t>Cu</t>
  </si>
  <si>
    <t>-</t>
  </si>
  <si>
    <t>0-1.2</t>
  </si>
  <si>
    <t>V</t>
  </si>
  <si>
    <t>Metal casting</t>
  </si>
  <si>
    <t>AA 296.0</t>
  </si>
  <si>
    <t>89-94</t>
  </si>
  <si>
    <t>Mg</t>
  </si>
  <si>
    <t>0-0.05</t>
  </si>
  <si>
    <t>0-0.35</t>
  </si>
  <si>
    <t>2.0-3.0</t>
  </si>
  <si>
    <t>0-0.25</t>
  </si>
  <si>
    <t>Zn</t>
  </si>
  <si>
    <t>2.77e3-2.82e3</t>
  </si>
  <si>
    <t>68.6-71.4</t>
  </si>
  <si>
    <t>170-188</t>
  </si>
  <si>
    <t>276-304</t>
  </si>
  <si>
    <t>5.0-6.0</t>
  </si>
  <si>
    <t>98.8-110</t>
  </si>
  <si>
    <t>63-77</t>
  </si>
  <si>
    <t>26.7-30.9</t>
  </si>
  <si>
    <t>597-663</t>
  </si>
  <si>
    <t>170-200</t>
  </si>
  <si>
    <t>129-139</t>
  </si>
  <si>
    <t>944-982</t>
  </si>
  <si>
    <t>21.5-22.6</t>
  </si>
  <si>
    <t>unsuitable</t>
  </si>
  <si>
    <t>A 201.0</t>
  </si>
  <si>
    <t>0-0.1</t>
  </si>
  <si>
    <t>0.2-0.4</t>
  </si>
  <si>
    <t>92.6-95.1</t>
  </si>
  <si>
    <t>0.15-0.35</t>
  </si>
  <si>
    <t>Ag</t>
  </si>
  <si>
    <t>0.4-1</t>
  </si>
  <si>
    <t>2.78e3-2.81e3</t>
  </si>
  <si>
    <t>71-74.6</t>
  </si>
  <si>
    <t>331-366</t>
  </si>
  <si>
    <t>386-427</t>
  </si>
  <si>
    <t>1.5-5</t>
  </si>
  <si>
    <t>148-152</t>
  </si>
  <si>
    <t>97-99</t>
  </si>
  <si>
    <t>18-24</t>
  </si>
  <si>
    <t>535-650</t>
  </si>
  <si>
    <t>150-170</t>
  </si>
  <si>
    <t>121-131</t>
  </si>
  <si>
    <t>921-959</t>
  </si>
  <si>
    <t>19.1-20.1</t>
  </si>
  <si>
    <t>limited use</t>
  </si>
  <si>
    <t>A 296.0</t>
  </si>
  <si>
    <t>0.2-0.5</t>
  </si>
  <si>
    <t>93.4-95.3</t>
  </si>
  <si>
    <t>0.15-0.3</t>
  </si>
  <si>
    <t>4.0-5.0</t>
  </si>
  <si>
    <t>4.2-5</t>
  </si>
  <si>
    <t>Sn</t>
  </si>
  <si>
    <t>69.4-71</t>
  </si>
  <si>
    <t>333-357</t>
  </si>
  <si>
    <t>410-450</t>
  </si>
  <si>
    <t>7.39-14.1</t>
  </si>
  <si>
    <t>130-149</t>
  </si>
  <si>
    <t>195-215</t>
  </si>
  <si>
    <t>40.9-45</t>
  </si>
  <si>
    <t>116-126</t>
  </si>
  <si>
    <t>902-938</t>
  </si>
  <si>
    <r>
      <rPr>
        <sz val="20"/>
        <color theme="0"/>
        <rFont val="Calibri"/>
        <family val="2"/>
      </rPr>
      <t>α</t>
    </r>
    <r>
      <rPr>
        <sz val="20"/>
        <color theme="0"/>
        <rFont val="Titillium"/>
      </rPr>
      <t xml:space="preserve"> (mstrain/°C)</t>
    </r>
  </si>
  <si>
    <t>18.8-19.8</t>
  </si>
  <si>
    <t>0-1</t>
  </si>
  <si>
    <t>0-0.5</t>
  </si>
  <si>
    <t>85.8-91.5</t>
  </si>
  <si>
    <t>5.5-6.5</t>
  </si>
  <si>
    <t>3.0-4.0</t>
  </si>
  <si>
    <t>72.5-75.5</t>
  </si>
  <si>
    <t>157-173</t>
  </si>
  <si>
    <t>242-251</t>
  </si>
  <si>
    <t>2-2.4</t>
  </si>
  <si>
    <t>105-116</t>
  </si>
  <si>
    <t>74.7-91.3</t>
  </si>
  <si>
    <t>20.7-23.9</t>
  </si>
  <si>
    <t>572-638</t>
  </si>
  <si>
    <t>200-230</t>
  </si>
  <si>
    <t>112-118</t>
  </si>
  <si>
    <t>21.1-22.1</t>
  </si>
  <si>
    <t>acceptable</t>
  </si>
  <si>
    <t>118-130</t>
  </si>
  <si>
    <t>186-205</t>
  </si>
  <si>
    <t>83-91</t>
  </si>
  <si>
    <t>T6 Sand cast</t>
  </si>
  <si>
    <t>156-172</t>
  </si>
  <si>
    <t>250-275</t>
  </si>
  <si>
    <t>92-102</t>
  </si>
  <si>
    <t>68.4-83.6</t>
  </si>
  <si>
    <t>80-89</t>
  </si>
  <si>
    <t>0.5-1.5</t>
  </si>
  <si>
    <t>8.5-10.5</t>
  </si>
  <si>
    <t>2.0-4.0</t>
  </si>
  <si>
    <t>2.74e3-2.8e3</t>
  </si>
  <si>
    <t>75.5-78.5</t>
  </si>
  <si>
    <t>184-204</t>
  </si>
  <si>
    <t>237-262</t>
  </si>
  <si>
    <t>1-1.2</t>
  </si>
  <si>
    <t>100-112</t>
  </si>
  <si>
    <t>81-99</t>
  </si>
  <si>
    <t>18-20.5</t>
  </si>
  <si>
    <t>513-597</t>
  </si>
  <si>
    <t>100-109</t>
  </si>
  <si>
    <t>20.2-21.2</t>
  </si>
  <si>
    <t>excellent</t>
  </si>
  <si>
    <t>AA 333.0</t>
  </si>
  <si>
    <t>81.8-89</t>
  </si>
  <si>
    <t>0.05-0.5</t>
  </si>
  <si>
    <t>8.0-10.0</t>
  </si>
  <si>
    <t>197-217</t>
  </si>
  <si>
    <t>290-319</t>
  </si>
  <si>
    <t>1.5-1.8</t>
  </si>
  <si>
    <t>111-123</t>
  </si>
  <si>
    <t>92.3-113</t>
  </si>
  <si>
    <t>19.4-22.3</t>
  </si>
  <si>
    <t>552-618</t>
  </si>
  <si>
    <t>106-123</t>
  </si>
  <si>
    <t>79-85.8</t>
  </si>
  <si>
    <t>0.7-1.3</t>
  </si>
  <si>
    <t>11.0-13.0</t>
  </si>
  <si>
    <t>2.69e3-2.74e3</t>
  </si>
  <si>
    <t>183-203</t>
  </si>
  <si>
    <t>236-260</t>
  </si>
  <si>
    <t>1.0-2.0</t>
  </si>
  <si>
    <t>83.7-102</t>
  </si>
  <si>
    <t>16.5-18.6</t>
  </si>
  <si>
    <t>534-576</t>
  </si>
  <si>
    <t>113-122</t>
  </si>
  <si>
    <t>18.4-19.4</t>
  </si>
  <si>
    <t>281-311</t>
  </si>
  <si>
    <t>309-341</t>
  </si>
  <si>
    <t>135-150</t>
  </si>
  <si>
    <t>134-143</t>
  </si>
  <si>
    <t>354.0</t>
  </si>
  <si>
    <t>0-0.2</t>
  </si>
  <si>
    <t>87.4-89.4</t>
  </si>
  <si>
    <t>0.4-0.6</t>
  </si>
  <si>
    <t>8.6-9.4</t>
  </si>
  <si>
    <t>1.6-2</t>
  </si>
  <si>
    <t>77-76.7</t>
  </si>
  <si>
    <t>244-270</t>
  </si>
  <si>
    <t>304-336</t>
  </si>
  <si>
    <t>110-120</t>
  </si>
  <si>
    <t>132-154</t>
  </si>
  <si>
    <t>20-23</t>
  </si>
  <si>
    <t>500-600</t>
  </si>
  <si>
    <t>126-137</t>
  </si>
  <si>
    <t>963-1e3</t>
  </si>
  <si>
    <t>22.7-23.8</t>
  </si>
  <si>
    <t>0-0.6</t>
  </si>
  <si>
    <t>90.3-94.1</t>
  </si>
  <si>
    <t>4.5-5.5</t>
  </si>
  <si>
    <t>1-1.5</t>
  </si>
  <si>
    <t>2.68e3-2.74e3</t>
  </si>
  <si>
    <t>165-182</t>
  </si>
  <si>
    <t>259-286</t>
  </si>
  <si>
    <t>2.2-2.6</t>
  </si>
  <si>
    <t>100-110</t>
  </si>
  <si>
    <t>21.2-24.4</t>
  </si>
  <si>
    <t>587-653</t>
  </si>
  <si>
    <t>146-164</t>
  </si>
  <si>
    <t>21.9-22.9</t>
  </si>
  <si>
    <t>204-232</t>
  </si>
  <si>
    <t>247-252</t>
  </si>
  <si>
    <t>3-3.6</t>
  </si>
  <si>
    <t>55.8-68.2</t>
  </si>
  <si>
    <t>23-26.8</t>
  </si>
  <si>
    <t>AA 336.0 - A03360</t>
  </si>
  <si>
    <t>AA 332.0 - A03320</t>
  </si>
  <si>
    <t>90.1-93.3</t>
  </si>
  <si>
    <t>0.2-0.45</t>
  </si>
  <si>
    <t>6.5-7.5</t>
  </si>
  <si>
    <t>2.66e3-2.71e3</t>
  </si>
  <si>
    <t>71.5-74.5</t>
  </si>
  <si>
    <t>172-190</t>
  </si>
  <si>
    <t>89-100</t>
  </si>
  <si>
    <t>19-21</t>
  </si>
  <si>
    <t>150-162</t>
  </si>
  <si>
    <t>20.6-22.4</t>
  </si>
  <si>
    <t>164-182</t>
  </si>
  <si>
    <t>235-259</t>
  </si>
  <si>
    <t>2.9-3.4</t>
  </si>
  <si>
    <t>89-105</t>
  </si>
  <si>
    <t>164-180</t>
  </si>
  <si>
    <t>6-7.2</t>
  </si>
  <si>
    <t>86-96</t>
  </si>
  <si>
    <t>98.9-111</t>
  </si>
  <si>
    <t>28-32.2</t>
  </si>
  <si>
    <t>146-172</t>
  </si>
  <si>
    <t>205-226</t>
  </si>
  <si>
    <t>2.1-2.6</t>
  </si>
  <si>
    <t>53.1-64.9</t>
  </si>
  <si>
    <t>AA 357.0 - A03570</t>
  </si>
  <si>
    <t>0-0.15</t>
  </si>
  <si>
    <t>0-0.03</t>
  </si>
  <si>
    <t>91.3-93</t>
  </si>
  <si>
    <t>0.45-0.6</t>
  </si>
  <si>
    <t>70.6-73.4</t>
  </si>
  <si>
    <t>345-380</t>
  </si>
  <si>
    <t>582-648</t>
  </si>
  <si>
    <t>145-157</t>
  </si>
  <si>
    <t>20.6-21.9</t>
  </si>
  <si>
    <t>359.0</t>
  </si>
  <si>
    <t>89-91</t>
  </si>
  <si>
    <t>0.5-0.7</t>
  </si>
  <si>
    <t>8.5-9.5</t>
  </si>
  <si>
    <t>2.67e3-2.7e3</t>
  </si>
  <si>
    <t>72-75.7</t>
  </si>
  <si>
    <t>221-245</t>
  </si>
  <si>
    <t>284-314</t>
  </si>
  <si>
    <t>123-144</t>
  </si>
  <si>
    <t>19-22</t>
  </si>
  <si>
    <t>130-150</t>
  </si>
  <si>
    <t>152-165</t>
  </si>
  <si>
    <t>19.8-20.8</t>
  </si>
  <si>
    <t>0-2</t>
  </si>
  <si>
    <t>85-90.6</t>
  </si>
  <si>
    <t>9.0-10.0</t>
  </si>
  <si>
    <t>69.6-72.4</t>
  </si>
  <si>
    <t>163-181</t>
  </si>
  <si>
    <t>324-356</t>
  </si>
  <si>
    <t>87-97</t>
  </si>
  <si>
    <t>118-144</t>
  </si>
  <si>
    <t>549-604</t>
  </si>
  <si>
    <t>141-152</t>
  </si>
  <si>
    <t>20.4-21.4</t>
  </si>
  <si>
    <t>0-1.3</t>
  </si>
  <si>
    <t>80.2-89.5</t>
  </si>
  <si>
    <t>7.5-9.5</t>
  </si>
  <si>
    <t>0-3</t>
  </si>
  <si>
    <t>2.71e3-2.77e3</t>
  </si>
  <si>
    <t>152-168</t>
  </si>
  <si>
    <t>4-4.8</t>
  </si>
  <si>
    <t>124-152</t>
  </si>
  <si>
    <t>25-29.1</t>
  </si>
  <si>
    <t>529-606</t>
  </si>
  <si>
    <t>130-170</t>
  </si>
  <si>
    <t>104-113</t>
  </si>
  <si>
    <t>20.6-21.6</t>
  </si>
  <si>
    <t>A383.0 - A03830</t>
  </si>
  <si>
    <t>0-0.3</t>
  </si>
  <si>
    <t>79.6-88.5</t>
  </si>
  <si>
    <t>9.5-11.5</t>
  </si>
  <si>
    <t>143-158</t>
  </si>
  <si>
    <t>310-341</t>
  </si>
  <si>
    <t>3.5-4.2</t>
  </si>
  <si>
    <t>88-100</t>
  </si>
  <si>
    <t>131-160</t>
  </si>
  <si>
    <t>24.1-28</t>
  </si>
  <si>
    <t>502-596</t>
  </si>
  <si>
    <t>92.2-99.8</t>
  </si>
  <si>
    <t>T5 Cooled from an elevaed-temperature shaping process and artificially aged</t>
  </si>
  <si>
    <t>71-75</t>
  </si>
  <si>
    <t>124-137</t>
  </si>
  <si>
    <t>200-221</t>
  </si>
  <si>
    <t>60-84</t>
  </si>
  <si>
    <t>84-98</t>
  </si>
  <si>
    <t>23-25</t>
  </si>
  <si>
    <t>525-560</t>
  </si>
  <si>
    <t>115-119</t>
  </si>
  <si>
    <t>18.5-19.5</t>
  </si>
  <si>
    <t>T6 Solution heat-treated and artificially aged</t>
  </si>
  <si>
    <t>266-294</t>
  </si>
  <si>
    <t>276-305</t>
  </si>
  <si>
    <t>115-125</t>
  </si>
  <si>
    <t>91.1-93.2</t>
  </si>
  <si>
    <t>0.25-0.45</t>
  </si>
  <si>
    <t>85.5-94.5</t>
  </si>
  <si>
    <t>170-187</t>
  </si>
  <si>
    <t>2.5-3</t>
  </si>
  <si>
    <t>69-77</t>
  </si>
  <si>
    <t>100-116</t>
  </si>
  <si>
    <t>21.9-25.4</t>
  </si>
  <si>
    <t>560-610</t>
  </si>
  <si>
    <t>149-155</t>
  </si>
  <si>
    <t>20.7-22.4</t>
  </si>
  <si>
    <t>35-40</t>
  </si>
  <si>
    <t>F Sand cast</t>
  </si>
  <si>
    <t>F Die cast</t>
  </si>
  <si>
    <t>F Permanent mold cast</t>
  </si>
  <si>
    <t>T6 Permanent mold cast - Solution heat-treated and artificially aged</t>
  </si>
  <si>
    <t>81.5-83.6</t>
  </si>
  <si>
    <t>150-163</t>
  </si>
  <si>
    <t>66-73</t>
  </si>
  <si>
    <t>197-213</t>
  </si>
  <si>
    <t>245-264</t>
  </si>
  <si>
    <t>3.7-4.4</t>
  </si>
  <si>
    <t>A357.0 - A13570</t>
  </si>
  <si>
    <t>T6 Investment cast</t>
  </si>
  <si>
    <t>90.8-93</t>
  </si>
  <si>
    <t>0.4-0.7</t>
  </si>
  <si>
    <t>0.04-0.2</t>
  </si>
  <si>
    <t>Be</t>
  </si>
  <si>
    <t>0.04-0.07</t>
  </si>
  <si>
    <t>2.65e3-2.71e3</t>
  </si>
  <si>
    <t>229-254</t>
  </si>
  <si>
    <t>291-322</t>
  </si>
  <si>
    <t>3.3-4</t>
  </si>
  <si>
    <t>96-110</t>
  </si>
  <si>
    <t>95.9-98.1</t>
  </si>
  <si>
    <t>23.6-27.6</t>
  </si>
  <si>
    <t>549-626</t>
  </si>
  <si>
    <t>150-160</t>
  </si>
  <si>
    <t>21.3-22.1</t>
  </si>
  <si>
    <t>T6 Permanent mold cast</t>
  </si>
  <si>
    <t>244-263</t>
  </si>
  <si>
    <t>306-332</t>
  </si>
  <si>
    <t>3.8-4.6</t>
  </si>
  <si>
    <t>96-111</t>
  </si>
  <si>
    <t>76.5-93.5</t>
  </si>
  <si>
    <t>24.6-28.8</t>
  </si>
  <si>
    <t>85.8-90.6</t>
  </si>
  <si>
    <t>317-349</t>
  </si>
  <si>
    <t>112-136</t>
  </si>
  <si>
    <t>20.5-21.6</t>
  </si>
  <si>
    <t>91.6-94.1</t>
  </si>
  <si>
    <t>225-258</t>
  </si>
  <si>
    <t>287-329</t>
  </si>
  <si>
    <t>2.3-2.7</t>
  </si>
  <si>
    <t>98-105</t>
  </si>
  <si>
    <t>92.7-113</t>
  </si>
  <si>
    <t>24-28</t>
  </si>
  <si>
    <t>536-634</t>
  </si>
  <si>
    <t>148-158</t>
  </si>
  <si>
    <t>22.1-22.8</t>
  </si>
  <si>
    <t>190-210</t>
  </si>
  <si>
    <t>270-297</t>
  </si>
  <si>
    <t xml:space="preserve">C355.0 - A33550 </t>
  </si>
  <si>
    <t>2.7e3-2.73e3</t>
  </si>
  <si>
    <t>70-73.6</t>
  </si>
  <si>
    <t>219-242</t>
  </si>
  <si>
    <t>282-311</t>
  </si>
  <si>
    <t>1.0-3.0</t>
  </si>
  <si>
    <t>90-95</t>
  </si>
  <si>
    <t>72-83</t>
  </si>
  <si>
    <t>545-620</t>
  </si>
  <si>
    <t>22.3-23.5</t>
  </si>
  <si>
    <t>0-0.55</t>
  </si>
  <si>
    <t>79.6-90</t>
  </si>
  <si>
    <t>0.05-0.55</t>
  </si>
  <si>
    <t>8.0-11.0</t>
  </si>
  <si>
    <t>Pb</t>
  </si>
  <si>
    <t>74.5-77.5</t>
  </si>
  <si>
    <t>133-147</t>
  </si>
  <si>
    <t>228-252</t>
  </si>
  <si>
    <t>1.0-1.2</t>
  </si>
  <si>
    <t>81-4</t>
  </si>
  <si>
    <t>108-122</t>
  </si>
  <si>
    <t>20.5-21.5</t>
  </si>
  <si>
    <t>81.4-88.8</t>
  </si>
  <si>
    <t>10.5-13.5</t>
  </si>
  <si>
    <t>0.7-1.2</t>
  </si>
  <si>
    <t>2.73e3-2.79e3</t>
  </si>
  <si>
    <t>2.67e3-2.73e3</t>
  </si>
  <si>
    <t>73.5-76.5</t>
  </si>
  <si>
    <t>81-94</t>
  </si>
  <si>
    <t>18-20</t>
  </si>
  <si>
    <t>572-584</t>
  </si>
  <si>
    <t>114-156</t>
  </si>
  <si>
    <t>944-682</t>
  </si>
  <si>
    <t>19.5-20.5</t>
  </si>
  <si>
    <t>82.2-89</t>
  </si>
  <si>
    <t>2.63e3-2.68e3</t>
  </si>
  <si>
    <t>138-152</t>
  </si>
  <si>
    <t>296-326</t>
  </si>
  <si>
    <t>100-117</t>
  </si>
  <si>
    <t>20-21</t>
  </si>
  <si>
    <t>443.0 - A04430</t>
  </si>
  <si>
    <t>0-0.8</t>
  </si>
  <si>
    <t>90.7-95.5</t>
  </si>
  <si>
    <t>4.5-6</t>
  </si>
  <si>
    <t>52.3-57.8</t>
  </si>
  <si>
    <t>131-144</t>
  </si>
  <si>
    <t>8-9.6</t>
  </si>
  <si>
    <t>59-65</t>
  </si>
  <si>
    <t>49.5-60.5</t>
  </si>
  <si>
    <t>29.6-33</t>
  </si>
  <si>
    <t>575-630</t>
  </si>
  <si>
    <t>143-163</t>
  </si>
  <si>
    <t>21.7-22.7</t>
  </si>
  <si>
    <t>EN AC-44300 (DIN EN 1706)</t>
  </si>
  <si>
    <t>84.3-89.5</t>
  </si>
  <si>
    <t>75-83</t>
  </si>
  <si>
    <t>582-684</t>
  </si>
  <si>
    <t>124-166</t>
  </si>
  <si>
    <t>3.5-4.5</t>
  </si>
  <si>
    <t>93.6-96.5</t>
  </si>
  <si>
    <t>78.9-87.2</t>
  </si>
  <si>
    <t>172-189</t>
  </si>
  <si>
    <t>9-10.8</t>
  </si>
  <si>
    <t>43.2-52.8</t>
  </si>
  <si>
    <t>29.9-32.7</t>
  </si>
  <si>
    <t>600-640</t>
  </si>
  <si>
    <t>80-100</t>
  </si>
  <si>
    <t>133-144</t>
  </si>
  <si>
    <t>23.3-24.5</t>
  </si>
  <si>
    <t>518.0 - A05180</t>
  </si>
  <si>
    <t>0-1.8</t>
  </si>
  <si>
    <t>88-92.5</t>
  </si>
  <si>
    <t>7.5-8.5</t>
  </si>
  <si>
    <t>2.49e3-2.54e3</t>
  </si>
  <si>
    <t>177-195</t>
  </si>
  <si>
    <t>517-639</t>
  </si>
  <si>
    <t>96.4-104</t>
  </si>
  <si>
    <t>23.5-24.7</t>
  </si>
  <si>
    <t>520.0 - A05200</t>
  </si>
  <si>
    <t>T4 Sand cast</t>
  </si>
  <si>
    <t>87.9-90.5</t>
  </si>
  <si>
    <t>9.5-10.6</t>
  </si>
  <si>
    <t>2.55e3-2.6e3</t>
  </si>
  <si>
    <t>64.7-67.3</t>
  </si>
  <si>
    <t>176-193</t>
  </si>
  <si>
    <t>288-319</t>
  </si>
  <si>
    <t>9.3-11.11</t>
  </si>
  <si>
    <t>49.5-117</t>
  </si>
  <si>
    <t>450-600</t>
  </si>
  <si>
    <t>86-90</t>
  </si>
  <si>
    <t>24.4-25.6</t>
  </si>
  <si>
    <t>713.0 - A07130</t>
  </si>
  <si>
    <t>T5 Permanent mold cast</t>
  </si>
  <si>
    <t>0-1.1</t>
  </si>
  <si>
    <t>0-.35</t>
  </si>
  <si>
    <t>87.6-92.4</t>
  </si>
  <si>
    <t>7.0-8.0</t>
  </si>
  <si>
    <t>2.85e3-2.91e3</t>
  </si>
  <si>
    <t>65.7-68.3</t>
  </si>
  <si>
    <t>176-194</t>
  </si>
  <si>
    <t>175-303</t>
  </si>
  <si>
    <t>595-630</t>
  </si>
  <si>
    <t>149-161</t>
  </si>
  <si>
    <t>240-264</t>
  </si>
  <si>
    <t>56.7-69.3</t>
  </si>
  <si>
    <t>T5 Sand cast</t>
  </si>
  <si>
    <t>220-242</t>
  </si>
  <si>
    <t>H19 Strain-hardened only</t>
  </si>
  <si>
    <t>0-0.4</t>
  </si>
  <si>
    <t>99.1-100</t>
  </si>
  <si>
    <t>2.98e3-2.74e3</t>
  </si>
  <si>
    <t>69-72</t>
  </si>
  <si>
    <t>166-184</t>
  </si>
  <si>
    <t>2.8-3.2</t>
  </si>
  <si>
    <t>45-49</t>
  </si>
  <si>
    <t>71.3-74.3</t>
  </si>
  <si>
    <t>32-35</t>
  </si>
  <si>
    <t>645-658</t>
  </si>
  <si>
    <t>224-234</t>
  </si>
  <si>
    <t>893-903</t>
  </si>
  <si>
    <t>22.9-24.1</t>
  </si>
  <si>
    <t>O Annealed</t>
  </si>
  <si>
    <t>33-37</t>
  </si>
  <si>
    <t>76-84</t>
  </si>
  <si>
    <t>35.2-40.9</t>
  </si>
  <si>
    <t>21.6-25.6</t>
  </si>
  <si>
    <t>1080 - A91080 - EN AW-1080</t>
  </si>
  <si>
    <t>H18  Srain-hardened only</t>
  </si>
  <si>
    <t>0-0.02</t>
  </si>
  <si>
    <t>99.5-100</t>
  </si>
  <si>
    <t>48-53</t>
  </si>
  <si>
    <t>131-145</t>
  </si>
  <si>
    <t>5.6-5.4</t>
  </si>
  <si>
    <t>38-42</t>
  </si>
  <si>
    <t>58.7-58.9</t>
  </si>
  <si>
    <t>630-660</t>
  </si>
  <si>
    <t>225-235</t>
  </si>
  <si>
    <t>23.4-24.6</t>
  </si>
  <si>
    <t>Ga</t>
  </si>
  <si>
    <t>71-79</t>
  </si>
  <si>
    <t>29.6-34.4</t>
  </si>
  <si>
    <t>30.9-31.1</t>
  </si>
  <si>
    <t>H14 Strain-hardened only</t>
  </si>
  <si>
    <t>99.6-100</t>
  </si>
  <si>
    <t>24-26</t>
  </si>
  <si>
    <t>55-61</t>
  </si>
  <si>
    <t>37-43</t>
  </si>
  <si>
    <t>26.5-28.7</t>
  </si>
  <si>
    <t>14-16</t>
  </si>
  <si>
    <t>645-675</t>
  </si>
  <si>
    <t>239-249</t>
  </si>
  <si>
    <t>910-960</t>
  </si>
  <si>
    <t>T4 Solution heat-treated and naturally aged to substantially stable condition</t>
  </si>
  <si>
    <t>96.2-98.6</t>
  </si>
  <si>
    <t>0.25-0.5</t>
  </si>
  <si>
    <t>0.5-0.8</t>
  </si>
  <si>
    <t>0.7-1.1</t>
  </si>
  <si>
    <t>2.69e3-2.75e3</t>
  </si>
  <si>
    <t>68.3-71.8</t>
  </si>
  <si>
    <t>118-131</t>
  </si>
  <si>
    <t>238-263</t>
  </si>
  <si>
    <t>25.9-30.1</t>
  </si>
  <si>
    <t>58-61</t>
  </si>
  <si>
    <t>72-87</t>
  </si>
  <si>
    <t>30-36</t>
  </si>
  <si>
    <t>610-650</t>
  </si>
  <si>
    <t>161-174</t>
  </si>
  <si>
    <t>874-910</t>
  </si>
  <si>
    <t>22.8-24</t>
  </si>
  <si>
    <t>T62 Solution heat-treated and artificially aged</t>
  </si>
  <si>
    <t>285-315</t>
  </si>
  <si>
    <t>12.0-14.0</t>
  </si>
  <si>
    <t>87-92</t>
  </si>
  <si>
    <t>94-113</t>
  </si>
  <si>
    <t>0.1-0.4</t>
  </si>
  <si>
    <t>95.7-98.8</t>
  </si>
  <si>
    <t>0.4-0.1</t>
  </si>
  <si>
    <t>0.7-13</t>
  </si>
  <si>
    <t>23.1-26.9</t>
  </si>
  <si>
    <t>60-63</t>
  </si>
  <si>
    <t>77-93</t>
  </si>
  <si>
    <t>605-650</t>
  </si>
  <si>
    <t>156-168</t>
  </si>
  <si>
    <t>890-940</t>
  </si>
  <si>
    <t>T41 Solution heat-treated and naturally aged to substantially stable condition</t>
  </si>
  <si>
    <t>78-94</t>
  </si>
  <si>
    <t>257-284</t>
  </si>
  <si>
    <t>13.9-16.1</t>
  </si>
  <si>
    <t>77-81</t>
  </si>
  <si>
    <t>91-111</t>
  </si>
  <si>
    <t>0-0.7</t>
  </si>
  <si>
    <t>0.4-1.2</t>
  </si>
  <si>
    <t>90.4-95</t>
  </si>
  <si>
    <t>0.2-0.8</t>
  </si>
  <si>
    <t>0.5-1.2</t>
  </si>
  <si>
    <t>0.-015</t>
  </si>
  <si>
    <t>3.9-5</t>
  </si>
  <si>
    <t>2.77e3-2.83e3</t>
  </si>
  <si>
    <t>73-77</t>
  </si>
  <si>
    <t>220-320</t>
  </si>
  <si>
    <t>350-440</t>
  </si>
  <si>
    <t>6.0-18.0</t>
  </si>
  <si>
    <t>114-126</t>
  </si>
  <si>
    <t>35-38</t>
  </si>
  <si>
    <t>505-640</t>
  </si>
  <si>
    <t>131-137</t>
  </si>
  <si>
    <t>858-893</t>
  </si>
  <si>
    <t>22.2-23.4</t>
  </si>
  <si>
    <t>72-77</t>
  </si>
  <si>
    <t>324-440</t>
  </si>
  <si>
    <t>386-490</t>
  </si>
  <si>
    <t>1.0-12.0</t>
  </si>
  <si>
    <t>119-133</t>
  </si>
  <si>
    <t>29.8-31.5</t>
  </si>
  <si>
    <t>152-171</t>
  </si>
  <si>
    <t>72-75.1</t>
  </si>
  <si>
    <t>359-421</t>
  </si>
  <si>
    <t>386-476</t>
  </si>
  <si>
    <t>1.0-8.0</t>
  </si>
  <si>
    <t>507-638</t>
  </si>
  <si>
    <t>158-171</t>
  </si>
  <si>
    <t>900-937</t>
  </si>
  <si>
    <t>23-24.2</t>
  </si>
  <si>
    <t>T651 Solution heat-treated and artificially aged</t>
  </si>
  <si>
    <t>74-77.8</t>
  </si>
  <si>
    <t>324-434</t>
  </si>
  <si>
    <t>1.0-7.0</t>
  </si>
  <si>
    <t>119-131</t>
  </si>
  <si>
    <t>24.5-26.7</t>
  </si>
  <si>
    <t>T6510 Solution heat-treated and artificially aged</t>
  </si>
  <si>
    <t>T6511 Solution heat-treated and artificially aged</t>
  </si>
  <si>
    <t>T652 Solutio heat-trated and artificially aged</t>
  </si>
  <si>
    <t>331-407</t>
  </si>
  <si>
    <t>393-462</t>
  </si>
  <si>
    <t>27.7-35.6</t>
  </si>
  <si>
    <t>91.6-95.5</t>
  </si>
  <si>
    <t>0.4-0.8</t>
  </si>
  <si>
    <t>221-244</t>
  </si>
  <si>
    <t>379-419</t>
  </si>
  <si>
    <t>12-13.9</t>
  </si>
  <si>
    <t>100-120</t>
  </si>
  <si>
    <t>125-139</t>
  </si>
  <si>
    <t>27-37</t>
  </si>
  <si>
    <t>513-640</t>
  </si>
  <si>
    <t>135-146</t>
  </si>
  <si>
    <t>22.9-24</t>
  </si>
  <si>
    <t>T42 Solution heat-treated and naturally aged substantially stable condition</t>
  </si>
  <si>
    <t>379-421</t>
  </si>
  <si>
    <t>T421 Solution heat-treated and naturally aged substantially stable condition</t>
  </si>
  <si>
    <t>0-05</t>
  </si>
  <si>
    <t>0.3-0.9</t>
  </si>
  <si>
    <t>90.8-94.7</t>
  </si>
  <si>
    <t>1.2-1.8</t>
  </si>
  <si>
    <t>3.8-4.9</t>
  </si>
  <si>
    <t>18.5-21.5</t>
  </si>
  <si>
    <t>52-58</t>
  </si>
  <si>
    <t>39.1-43</t>
  </si>
  <si>
    <t>37-39</t>
  </si>
  <si>
    <t>500-640</t>
  </si>
  <si>
    <t>189-197</t>
  </si>
  <si>
    <t>22.5-23.7</t>
  </si>
  <si>
    <t>T3 Solution heat-treated, cold-worked, and naturally aged to a subtsantially stable condition</t>
  </si>
  <si>
    <t>2.75e3-2.78e3</t>
  </si>
  <si>
    <t>248-372</t>
  </si>
  <si>
    <t>359-510</t>
  </si>
  <si>
    <t>8.0-15.0</t>
  </si>
  <si>
    <t>108-148</t>
  </si>
  <si>
    <t>118-168</t>
  </si>
  <si>
    <t>37-41</t>
  </si>
  <si>
    <t>502-638</t>
  </si>
  <si>
    <t>942-980</t>
  </si>
  <si>
    <t>23.2-24.4</t>
  </si>
  <si>
    <t>T351 Solution heat-treated, cold-worked, and naturally aged to a subtsantially stable condition</t>
  </si>
  <si>
    <t>248-345</t>
  </si>
  <si>
    <t>338-455</t>
  </si>
  <si>
    <t>4.0-12.0</t>
  </si>
  <si>
    <t>32.4-41</t>
  </si>
  <si>
    <t>T3510/T3511 Solution heat-treated, cold-worked, and naturally aged to a subtsantially stable condition</t>
  </si>
  <si>
    <t>2.76e3-2.78e3</t>
  </si>
  <si>
    <t>119-150</t>
  </si>
  <si>
    <t>125-147</t>
  </si>
  <si>
    <t>38.9-44.6</t>
  </si>
  <si>
    <t>T36 Solution heat-treated, cold-worked, and naturally aged to a subtsantially stable condition</t>
  </si>
  <si>
    <t>359-397</t>
  </si>
  <si>
    <t>476-526</t>
  </si>
  <si>
    <t>10-11.6</t>
  </si>
  <si>
    <t>T361 Solution heat-treated, cold-worked, and naturally aged to a subtsantially stable condition</t>
  </si>
  <si>
    <t>324-386</t>
  </si>
  <si>
    <t>421-476</t>
  </si>
  <si>
    <t>125-138</t>
  </si>
  <si>
    <t>248-330</t>
  </si>
  <si>
    <t>359-445</t>
  </si>
  <si>
    <t>6.0-20.0</t>
  </si>
  <si>
    <t>38-40</t>
  </si>
  <si>
    <t>119-123</t>
  </si>
  <si>
    <t>858-980</t>
  </si>
  <si>
    <t>186-276</t>
  </si>
  <si>
    <t>269-427</t>
  </si>
  <si>
    <t>4.0-15.0</t>
  </si>
  <si>
    <t>345-381</t>
  </si>
  <si>
    <t>427-472</t>
  </si>
  <si>
    <t>151-163</t>
  </si>
  <si>
    <t>865-885</t>
  </si>
  <si>
    <t>317-350</t>
  </si>
  <si>
    <t>414-458</t>
  </si>
  <si>
    <t>5-5.81</t>
  </si>
  <si>
    <t>T72 Solution heat-treated and overaged or stabilized</t>
  </si>
  <si>
    <t>296-352</t>
  </si>
  <si>
    <t>386-455</t>
  </si>
  <si>
    <t>T81 Solution heat-trated, cold worked, and artificially aged</t>
  </si>
  <si>
    <t>372-421</t>
  </si>
  <si>
    <t>421-469</t>
  </si>
  <si>
    <t>121-151</t>
  </si>
  <si>
    <t>T851 Solution heat-trated, cold worked, and artificially aged</t>
  </si>
  <si>
    <t>434-480</t>
  </si>
  <si>
    <t>23-28.2</t>
  </si>
  <si>
    <t>90.9-95.2</t>
  </si>
  <si>
    <t>110-130</t>
  </si>
  <si>
    <t>125-135</t>
  </si>
  <si>
    <t>511-642</t>
  </si>
  <si>
    <t>156-169</t>
  </si>
  <si>
    <t>23-24.1</t>
  </si>
  <si>
    <t>T3511  Solution heat-treated, cold-worked, and naturally aged to a subtsantially stable condition</t>
  </si>
  <si>
    <t>0-0.07</t>
  </si>
  <si>
    <t>Zr</t>
  </si>
  <si>
    <t>0.05-0.25</t>
  </si>
  <si>
    <t>0.3-0.8</t>
  </si>
  <si>
    <t>92.6-95</t>
  </si>
  <si>
    <t>1-1.6</t>
  </si>
  <si>
    <t>0-0.06</t>
  </si>
  <si>
    <t>3.6-4.3</t>
  </si>
  <si>
    <t>73.6-74.2</t>
  </si>
  <si>
    <t>297-392</t>
  </si>
  <si>
    <t>432-525</t>
  </si>
  <si>
    <t>3.01-24.6</t>
  </si>
  <si>
    <t>99-111</t>
  </si>
  <si>
    <t>120-140</t>
  </si>
  <si>
    <t>28-40</t>
  </si>
  <si>
    <t>120-135</t>
  </si>
  <si>
    <t>23-24</t>
  </si>
  <si>
    <t>94.4-97.4</t>
  </si>
  <si>
    <t>0.3-0.6</t>
  </si>
  <si>
    <t>2.2-3</t>
  </si>
  <si>
    <t>2.72e3-2.78e3</t>
  </si>
  <si>
    <t>68.5-72.1</t>
  </si>
  <si>
    <t>53-59</t>
  </si>
  <si>
    <t>110-122</t>
  </si>
  <si>
    <t>24-29</t>
  </si>
  <si>
    <t>27-30</t>
  </si>
  <si>
    <t>554-650</t>
  </si>
  <si>
    <t>190-206</t>
  </si>
  <si>
    <t>864-900</t>
  </si>
  <si>
    <t>68.9-72.4</t>
  </si>
  <si>
    <t>185-204</t>
  </si>
  <si>
    <t>323-357</t>
  </si>
  <si>
    <t>22.2-25.8</t>
  </si>
  <si>
    <t>72-80</t>
  </si>
  <si>
    <t>153-165</t>
  </si>
  <si>
    <t>T83 Solution heat-trated, cold worked, and artificially aged</t>
  </si>
  <si>
    <t>0-0.12</t>
  </si>
  <si>
    <t>Li</t>
  </si>
  <si>
    <t>1.9-2.6</t>
  </si>
  <si>
    <t>0.08-0.15</t>
  </si>
  <si>
    <t>93.3-95.6</t>
  </si>
  <si>
    <t>2.59e3-2.61e3</t>
  </si>
  <si>
    <t>76-79.9</t>
  </si>
  <si>
    <t>386-483</t>
  </si>
  <si>
    <t>441-531</t>
  </si>
  <si>
    <t>3.0-5.0</t>
  </si>
  <si>
    <t>40-126</t>
  </si>
  <si>
    <t>200-220</t>
  </si>
  <si>
    <t>34-45</t>
  </si>
  <si>
    <t>427-620</t>
  </si>
  <si>
    <t>151-164</t>
  </si>
  <si>
    <t>960-999</t>
  </si>
  <si>
    <t>2124 wrought - A92124</t>
  </si>
  <si>
    <t>0-0.01</t>
  </si>
  <si>
    <t>91.2-94.7</t>
  </si>
  <si>
    <t>352-421</t>
  </si>
  <si>
    <t>1.5-6</t>
  </si>
  <si>
    <t>128-142</t>
  </si>
  <si>
    <t>142-142</t>
  </si>
  <si>
    <t>29.6-35.7</t>
  </si>
  <si>
    <t>501-637</t>
  </si>
  <si>
    <t>579-915</t>
  </si>
  <si>
    <t>91.5-93.8</t>
  </si>
  <si>
    <t>0.02-0.1</t>
  </si>
  <si>
    <t>5.8-6.8</t>
  </si>
  <si>
    <t>0.05-0.15</t>
  </si>
  <si>
    <t>0.1-0.25</t>
  </si>
  <si>
    <t>2.84e3-2.87e3</t>
  </si>
  <si>
    <t>248-274</t>
  </si>
  <si>
    <t>400-469</t>
  </si>
  <si>
    <t>372-411</t>
  </si>
  <si>
    <t>6.0-8.0</t>
  </si>
  <si>
    <t>66-121</t>
  </si>
  <si>
    <t>99-107</t>
  </si>
  <si>
    <t>20.9-45</t>
  </si>
  <si>
    <t>543-643</t>
  </si>
  <si>
    <t>155-168</t>
  </si>
  <si>
    <t>421-465</t>
  </si>
  <si>
    <t>290-331</t>
  </si>
  <si>
    <t>393-434</t>
  </si>
  <si>
    <t>34.2-39.2</t>
  </si>
  <si>
    <t>T8511 Solution heat-trated, cold worked, and artificially aged</t>
  </si>
  <si>
    <t>269-297</t>
  </si>
  <si>
    <t>4.0-6.0</t>
  </si>
  <si>
    <t>25.3-37.4</t>
  </si>
  <si>
    <t>T852 Solution heat-trated, cold worked, and artificially aged</t>
  </si>
  <si>
    <t>255-345</t>
  </si>
  <si>
    <t>345-427</t>
  </si>
  <si>
    <t>2.0-6.0</t>
  </si>
  <si>
    <t>66-117</t>
  </si>
  <si>
    <t>39.6-46.6</t>
  </si>
  <si>
    <t>T87 Solution heat-trated, cold worked, and artificially aged</t>
  </si>
  <si>
    <t>359-448</t>
  </si>
  <si>
    <t>3.0-7.0</t>
  </si>
  <si>
    <t>27.5-34.1</t>
  </si>
  <si>
    <t>92-94.7</t>
  </si>
  <si>
    <t>3.8-4..4</t>
  </si>
  <si>
    <t>72-76</t>
  </si>
  <si>
    <t>344-381</t>
  </si>
  <si>
    <t>460-533</t>
  </si>
  <si>
    <t>14.2-18.8</t>
  </si>
  <si>
    <t>105-117</t>
  </si>
  <si>
    <t>28-45</t>
  </si>
  <si>
    <t>550-640</t>
  </si>
  <si>
    <t>115-130</t>
  </si>
  <si>
    <t>900-940</t>
  </si>
  <si>
    <t>93.8-96.2</t>
  </si>
  <si>
    <t>2.5-3.1</t>
  </si>
  <si>
    <t>0-0.11</t>
  </si>
  <si>
    <t>1.1-1.7</t>
  </si>
  <si>
    <t>0.1-0.5</t>
  </si>
  <si>
    <t>2.62e3-2.68e3</t>
  </si>
  <si>
    <t>361-417</t>
  </si>
  <si>
    <t>395-464</t>
  </si>
  <si>
    <t>113-125</t>
  </si>
  <si>
    <t>51-57</t>
  </si>
  <si>
    <t>92.7-94.7</t>
  </si>
  <si>
    <t>3.8-4.4</t>
  </si>
  <si>
    <t>1.2-1.6</t>
  </si>
  <si>
    <t>2.76e3-2.82e3</t>
  </si>
  <si>
    <t>63-68</t>
  </si>
  <si>
    <t>270-332</t>
  </si>
  <si>
    <t>394-422</t>
  </si>
  <si>
    <t>12.0-15.0</t>
  </si>
  <si>
    <t>103-260</t>
  </si>
  <si>
    <t>510-680</t>
  </si>
  <si>
    <t>119-171</t>
  </si>
  <si>
    <t>858-1e3</t>
  </si>
  <si>
    <t>21.5-24.7</t>
  </si>
  <si>
    <t>91.4-94.4</t>
  </si>
  <si>
    <t>5.3-6.4</t>
  </si>
  <si>
    <t>0.05-0.4</t>
  </si>
  <si>
    <t>2.81e3-2.84e3</t>
  </si>
  <si>
    <t>5.0-10.0</t>
  </si>
  <si>
    <t>66-124</t>
  </si>
  <si>
    <t>527-620</t>
  </si>
  <si>
    <t>92.6-94.4</t>
  </si>
  <si>
    <t>4-4.5</t>
  </si>
  <si>
    <t>0.45-0.7</t>
  </si>
  <si>
    <t>269-324</t>
  </si>
  <si>
    <t>407-450</t>
  </si>
  <si>
    <t>15-17.4</t>
  </si>
  <si>
    <t>66-118</t>
  </si>
  <si>
    <t>T4 Solution heat-treated, cold-worked, and naturally aged to a subtsantially stable condition</t>
  </si>
  <si>
    <t>92.4-94.9</t>
  </si>
  <si>
    <t>1.9-2.7</t>
  </si>
  <si>
    <t>0.9-1.3</t>
  </si>
  <si>
    <t>1.3-1.8</t>
  </si>
  <si>
    <t>0.9-1.2</t>
  </si>
  <si>
    <t>0.04-0.1</t>
  </si>
  <si>
    <t>314-347</t>
  </si>
  <si>
    <t>13-15.1</t>
  </si>
  <si>
    <t>80-88</t>
  </si>
  <si>
    <t>101-106</t>
  </si>
  <si>
    <t>33-35</t>
  </si>
  <si>
    <t>560-650</t>
  </si>
  <si>
    <t>250-300</t>
  </si>
  <si>
    <t>148-154</t>
  </si>
  <si>
    <t>320-380</t>
  </si>
  <si>
    <t>400-440</t>
  </si>
  <si>
    <t>8.0-9.0</t>
  </si>
  <si>
    <t>109-121</t>
  </si>
  <si>
    <t>31-34</t>
  </si>
  <si>
    <t>T61 Solution heat-treated and artificially aged</t>
  </si>
  <si>
    <t>H11 Strain-hardened only</t>
  </si>
  <si>
    <t>95.6-98.2</t>
  </si>
  <si>
    <t>0.8-1.3</t>
  </si>
  <si>
    <t>55.7-61.5</t>
  </si>
  <si>
    <t>158-174</t>
  </si>
  <si>
    <t>629-655</t>
  </si>
  <si>
    <t>154-166</t>
  </si>
  <si>
    <t>875-911</t>
  </si>
  <si>
    <t>22.7-23.9</t>
  </si>
  <si>
    <t>H32 Strain-hardened only</t>
  </si>
  <si>
    <t>H34 Strain-hardened only</t>
  </si>
  <si>
    <t>H36 Strain-hardened only</t>
  </si>
  <si>
    <t>H38 Strain-hardened only</t>
  </si>
  <si>
    <t>250-262</t>
  </si>
  <si>
    <t>3.7-4.3</t>
  </si>
  <si>
    <t>90-100</t>
  </si>
  <si>
    <t>150-165</t>
  </si>
  <si>
    <t>176-195</t>
  </si>
  <si>
    <t>10.4-12.1</t>
  </si>
  <si>
    <t>56-61</t>
  </si>
  <si>
    <t>630-655</t>
  </si>
  <si>
    <t>205-227</t>
  </si>
  <si>
    <t>8.14-9.46</t>
  </si>
  <si>
    <t>65-72</t>
  </si>
  <si>
    <t>105-120</t>
  </si>
  <si>
    <t>6.01-6.99</t>
  </si>
  <si>
    <t>4.44-5.16</t>
  </si>
  <si>
    <t>77-85</t>
  </si>
  <si>
    <t>110-140</t>
  </si>
  <si>
    <t>59-65.2</t>
  </si>
  <si>
    <t>145-160</t>
  </si>
  <si>
    <t>23.6-27.4</t>
  </si>
  <si>
    <t>47-50</t>
  </si>
  <si>
    <t>97-105</t>
  </si>
  <si>
    <t>96.4-99.1</t>
  </si>
  <si>
    <t>0.9-1.5</t>
  </si>
  <si>
    <t>2.7e3-2.76e3</t>
  </si>
  <si>
    <t>69.5-73</t>
  </si>
  <si>
    <t>147-163</t>
  </si>
  <si>
    <t>8.3-9.7</t>
  </si>
  <si>
    <t>43-47</t>
  </si>
  <si>
    <t>62-65.2</t>
  </si>
  <si>
    <t>30-35</t>
  </si>
  <si>
    <t>640-655</t>
  </si>
  <si>
    <t>154-163</t>
  </si>
  <si>
    <t>879-915</t>
  </si>
  <si>
    <t>H1 8 Strain-hardened only</t>
  </si>
  <si>
    <t>171-189</t>
  </si>
  <si>
    <t>5.6-6.5</t>
  </si>
  <si>
    <t>74.3-77.3</t>
  </si>
  <si>
    <t>28-31</t>
  </si>
  <si>
    <t>26.5-30.9</t>
  </si>
  <si>
    <t>96-99.5</t>
  </si>
  <si>
    <t>1.9-2.2</t>
  </si>
  <si>
    <t>49-55</t>
  </si>
  <si>
    <t>66.7-66.9</t>
  </si>
  <si>
    <t>625-650</t>
  </si>
  <si>
    <t>169-175</t>
  </si>
  <si>
    <t>185-205</t>
  </si>
  <si>
    <t>214-236</t>
  </si>
  <si>
    <t>55-60</t>
  </si>
  <si>
    <t>78.7-78.9</t>
  </si>
  <si>
    <t>86-95</t>
  </si>
  <si>
    <t>16.7-19.4</t>
  </si>
  <si>
    <t>33-36</t>
  </si>
  <si>
    <t>45.9-58.4</t>
  </si>
  <si>
    <t>97.3-99.2</t>
  </si>
  <si>
    <t>2.66e3-2.72e3</t>
  </si>
  <si>
    <t>10.2-11.8</t>
  </si>
  <si>
    <t>63.6-66.7</t>
  </si>
  <si>
    <t>630-650</t>
  </si>
  <si>
    <t>197-205</t>
  </si>
  <si>
    <t>882-982</t>
  </si>
  <si>
    <t>H16 Strained-hardened only</t>
  </si>
  <si>
    <t>7.4-8.6</t>
  </si>
  <si>
    <t>69.8-72.8</t>
  </si>
  <si>
    <t>29-32</t>
  </si>
  <si>
    <t>95.8-97.6</t>
  </si>
  <si>
    <t>2.2-2.8</t>
  </si>
  <si>
    <t>101-111</t>
  </si>
  <si>
    <t>182-201</t>
  </si>
  <si>
    <t>13-17</t>
  </si>
  <si>
    <t>54-57</t>
  </si>
  <si>
    <t>90-109</t>
  </si>
  <si>
    <t>140-152</t>
  </si>
  <si>
    <t>883-919</t>
  </si>
  <si>
    <t>23.1-24.3</t>
  </si>
  <si>
    <t>240-252</t>
  </si>
  <si>
    <t>295-326</t>
  </si>
  <si>
    <t>4.63-5.38</t>
  </si>
  <si>
    <t>H32 Strain-hardened only and stabilized</t>
  </si>
  <si>
    <t>152-172</t>
  </si>
  <si>
    <t>214-237</t>
  </si>
  <si>
    <t>55-75</t>
  </si>
  <si>
    <t>607-649</t>
  </si>
  <si>
    <t>23.7-24.9</t>
  </si>
  <si>
    <t>234-259</t>
  </si>
  <si>
    <t>3.0-10.0</t>
  </si>
  <si>
    <t>67-87</t>
  </si>
  <si>
    <t>120-130</t>
  </si>
  <si>
    <t>255-282</t>
  </si>
  <si>
    <t>70-90</t>
  </si>
  <si>
    <t>80-90</t>
  </si>
  <si>
    <t>135-145</t>
  </si>
  <si>
    <t>66-72.9</t>
  </si>
  <si>
    <t>14-16.3</t>
  </si>
  <si>
    <t>45-55</t>
  </si>
  <si>
    <t>94.6-105</t>
  </si>
  <si>
    <t>H111 Srain-hardened only</t>
  </si>
  <si>
    <t>92.4-95.6</t>
  </si>
  <si>
    <t>4-4.9</t>
  </si>
  <si>
    <t>2.64e3-2.67e3</t>
  </si>
  <si>
    <t>131-165</t>
  </si>
  <si>
    <t>221-276</t>
  </si>
  <si>
    <t>122-152</t>
  </si>
  <si>
    <t>574-638</t>
  </si>
  <si>
    <t>118-128</t>
  </si>
  <si>
    <t>23.6-24.8</t>
  </si>
  <si>
    <t>110-124</t>
  </si>
  <si>
    <t>63.6-160</t>
  </si>
  <si>
    <t>193-221</t>
  </si>
  <si>
    <t>283-317</t>
  </si>
  <si>
    <t>160-166</t>
  </si>
  <si>
    <t>310-343</t>
  </si>
  <si>
    <t>117-127</t>
  </si>
  <si>
    <t>110-131</t>
  </si>
  <si>
    <t>248-283</t>
  </si>
  <si>
    <t>12.0-16.0</t>
  </si>
  <si>
    <t>580-640</t>
  </si>
  <si>
    <t>H112 Strain-hardened only and stabilized</t>
  </si>
  <si>
    <t>H321 Strain-hardened only and stabilized</t>
  </si>
  <si>
    <t>H323 Strain-hardened only and stabilized</t>
  </si>
  <si>
    <t>H343 Strain-hardened only and stabilized</t>
  </si>
  <si>
    <t xml:space="preserve">H111 Srain-hardened only </t>
  </si>
  <si>
    <t>93-96.2</t>
  </si>
  <si>
    <t>0.2-0.7</t>
  </si>
  <si>
    <t>585-640</t>
  </si>
  <si>
    <t>H34 Strain-hardened only and stabilized</t>
  </si>
  <si>
    <t>H36 Strain-hardened only and stabilized</t>
  </si>
  <si>
    <t>H38 Strain-hardened only and stabilized</t>
  </si>
  <si>
    <t>97-124</t>
  </si>
  <si>
    <t>8.0-14.0</t>
  </si>
  <si>
    <t>79-88</t>
  </si>
  <si>
    <t>179-207</t>
  </si>
  <si>
    <t>6.0-12.0</t>
  </si>
  <si>
    <t>84-92</t>
  </si>
  <si>
    <t>23.8-25</t>
  </si>
  <si>
    <t>303-335</t>
  </si>
  <si>
    <t>4.0-10.0</t>
  </si>
  <si>
    <t>94-102</t>
  </si>
  <si>
    <t>324-358</t>
  </si>
  <si>
    <t>3.0-6.0</t>
  </si>
  <si>
    <t>283-313</t>
  </si>
  <si>
    <t>3-3.49</t>
  </si>
  <si>
    <t>97-107</t>
  </si>
  <si>
    <t>241-266</t>
  </si>
  <si>
    <t>14-18</t>
  </si>
  <si>
    <t>H12 Strain-hardened only</t>
  </si>
  <si>
    <t>94.4-96.8</t>
  </si>
  <si>
    <t>3.1-3.9</t>
  </si>
  <si>
    <t>2.64e3-2.7e3</t>
  </si>
  <si>
    <t>70.5-74</t>
  </si>
  <si>
    <t>252-278</t>
  </si>
  <si>
    <t>81.6-84.4</t>
  </si>
  <si>
    <t>595-645</t>
  </si>
  <si>
    <t>126-132</t>
  </si>
  <si>
    <t>882-918</t>
  </si>
  <si>
    <t>223-247</t>
  </si>
  <si>
    <t>11.1-12.9</t>
  </si>
  <si>
    <t>81-89</t>
  </si>
  <si>
    <t>90-92.7</t>
  </si>
  <si>
    <t>21.3-24.7</t>
  </si>
  <si>
    <t>57-63</t>
  </si>
  <si>
    <t>52-55.4</t>
  </si>
  <si>
    <t>93.2-95.8</t>
  </si>
  <si>
    <t>69.2-72.8</t>
  </si>
  <si>
    <t>239-264</t>
  </si>
  <si>
    <t>322-356</t>
  </si>
  <si>
    <t>7.0-9.0</t>
  </si>
  <si>
    <t>98-119</t>
  </si>
  <si>
    <t>884-920</t>
  </si>
  <si>
    <t>251-278</t>
  </si>
  <si>
    <t>335-370</t>
  </si>
  <si>
    <t>99-120</t>
  </si>
  <si>
    <t>373-413</t>
  </si>
  <si>
    <t>400-442</t>
  </si>
  <si>
    <t>172-208</t>
  </si>
  <si>
    <t>577-640</t>
  </si>
  <si>
    <t>885-921</t>
  </si>
  <si>
    <t>222-246</t>
  </si>
  <si>
    <t>301-333</t>
  </si>
  <si>
    <t>144-174</t>
  </si>
  <si>
    <t>321-355</t>
  </si>
  <si>
    <t>9.25-10.8</t>
  </si>
  <si>
    <t>95-105</t>
  </si>
  <si>
    <t>154-186</t>
  </si>
  <si>
    <t>68.8-72.3</t>
  </si>
  <si>
    <t>136-150</t>
  </si>
  <si>
    <t>61-67</t>
  </si>
  <si>
    <t>575-640</t>
  </si>
  <si>
    <t>23.4-24.7</t>
  </si>
  <si>
    <t>95.4-98.2</t>
  </si>
  <si>
    <t>1.7-2.4</t>
  </si>
  <si>
    <t>70-74</t>
  </si>
  <si>
    <t>181-200</t>
  </si>
  <si>
    <t>67-74</t>
  </si>
  <si>
    <t>77.3-80.2</t>
  </si>
  <si>
    <t>146-152</t>
  </si>
  <si>
    <t>91.4-94.1</t>
  </si>
  <si>
    <t>32-34</t>
  </si>
  <si>
    <t>60-76</t>
  </si>
  <si>
    <t>160-200</t>
  </si>
  <si>
    <t>14-25</t>
  </si>
  <si>
    <t>44-48</t>
  </si>
  <si>
    <t>40-50</t>
  </si>
  <si>
    <t>34-36</t>
  </si>
  <si>
    <t>H111 Strain-hardened only</t>
  </si>
  <si>
    <t>94.4-97</t>
  </si>
  <si>
    <t>0.05-0.2</t>
  </si>
  <si>
    <t>2.4-3</t>
  </si>
  <si>
    <t>0-5-1</t>
  </si>
  <si>
    <t>74-82</t>
  </si>
  <si>
    <t>25-45</t>
  </si>
  <si>
    <t>602-646</t>
  </si>
  <si>
    <t>83-124</t>
  </si>
  <si>
    <t>11.0-15.0</t>
  </si>
  <si>
    <t>64-70</t>
  </si>
  <si>
    <t>600-645</t>
  </si>
  <si>
    <t>132-138</t>
  </si>
  <si>
    <t>165-186</t>
  </si>
  <si>
    <t>248-174</t>
  </si>
  <si>
    <t>5.0-12.0</t>
  </si>
  <si>
    <t>25-35</t>
  </si>
  <si>
    <t>193-213</t>
  </si>
  <si>
    <t>269-267</t>
  </si>
  <si>
    <t>86-94</t>
  </si>
  <si>
    <t>83-91.7</t>
  </si>
  <si>
    <t>12.0-18.0</t>
  </si>
  <si>
    <t>5456 wrought - A95456</t>
  </si>
  <si>
    <t>92-94.8</t>
  </si>
  <si>
    <t>4.7-5.5</t>
  </si>
  <si>
    <t>0.5-1</t>
  </si>
  <si>
    <t>179-198</t>
  </si>
  <si>
    <t>290-321</t>
  </si>
  <si>
    <t>98-108</t>
  </si>
  <si>
    <t>35-45</t>
  </si>
  <si>
    <t>570-638</t>
  </si>
  <si>
    <t>24.8-26.1</t>
  </si>
  <si>
    <t>193-228</t>
  </si>
  <si>
    <t>103-131</t>
  </si>
  <si>
    <t>262-290</t>
  </si>
  <si>
    <t>144-160</t>
  </si>
  <si>
    <t>94.2-97.4</t>
  </si>
  <si>
    <t>2.6-3.6</t>
  </si>
  <si>
    <t>68.7-72.3</t>
  </si>
  <si>
    <t>162-170</t>
  </si>
  <si>
    <t>13.4-15.6</t>
  </si>
  <si>
    <t>119-144</t>
  </si>
  <si>
    <t>127-137</t>
  </si>
  <si>
    <t>184-194</t>
  </si>
  <si>
    <t>242-268</t>
  </si>
  <si>
    <t>124-150</t>
  </si>
  <si>
    <t>207-217</t>
  </si>
  <si>
    <t>264-291</t>
  </si>
  <si>
    <t>7.86-9.14</t>
  </si>
  <si>
    <t>129-156</t>
  </si>
  <si>
    <t>232-244</t>
  </si>
  <si>
    <t>287-318</t>
  </si>
  <si>
    <t>5.55-6.45</t>
  </si>
  <si>
    <t>135-163</t>
  </si>
  <si>
    <t>270-283</t>
  </si>
  <si>
    <t>143-173</t>
  </si>
  <si>
    <t>69-72.5</t>
  </si>
  <si>
    <t>198-219</t>
  </si>
  <si>
    <t>21.6-25.4</t>
  </si>
  <si>
    <t>111-135</t>
  </si>
  <si>
    <t>590-645</t>
  </si>
  <si>
    <t>23.2-24.3</t>
  </si>
  <si>
    <t>97.5-99</t>
  </si>
  <si>
    <t>0.6-0.9</t>
  </si>
  <si>
    <t>2.68e3-2.73e3</t>
  </si>
  <si>
    <t>67.5-71</t>
  </si>
  <si>
    <t>105-122</t>
  </si>
  <si>
    <t>170-198</t>
  </si>
  <si>
    <t>16-23</t>
  </si>
  <si>
    <t>53-56</t>
  </si>
  <si>
    <t>607-655</t>
  </si>
  <si>
    <t>170-185</t>
  </si>
  <si>
    <t>67.4-70.9</t>
  </si>
  <si>
    <t>240-280</t>
  </si>
  <si>
    <t>260-303</t>
  </si>
  <si>
    <t>10-14.4</t>
  </si>
  <si>
    <t>101-117</t>
  </si>
  <si>
    <t>605-665</t>
  </si>
  <si>
    <t>T1 Cooled from elevated temperature shaping process and naturally aged</t>
  </si>
  <si>
    <t>T5 Cooled from elevated temperature shaping process and artificially aged</t>
  </si>
  <si>
    <t>T4 Solution heat-treated and naturally aged to a subtsantially stable condition</t>
  </si>
  <si>
    <t>96.5-99.1</t>
  </si>
  <si>
    <t>0.5-0.9</t>
  </si>
  <si>
    <t>67.8-71.2</t>
  </si>
  <si>
    <t>15-21.6</t>
  </si>
  <si>
    <t>74.2-86.5</t>
  </si>
  <si>
    <t>185-201</t>
  </si>
  <si>
    <t>102-119</t>
  </si>
  <si>
    <t>194-227</t>
  </si>
  <si>
    <t>13.3-19.2</t>
  </si>
  <si>
    <t>63-66</t>
  </si>
  <si>
    <t>81.9-95.5</t>
  </si>
  <si>
    <t>200-233</t>
  </si>
  <si>
    <t>255-297</t>
  </si>
  <si>
    <t>8-11.5</t>
  </si>
  <si>
    <t>95-100</t>
  </si>
  <si>
    <t>93.5-109</t>
  </si>
  <si>
    <t>225-262</t>
  </si>
  <si>
    <t>270-315</t>
  </si>
  <si>
    <t>97.4-114</t>
  </si>
  <si>
    <t>95.7-98.6</t>
  </si>
  <si>
    <t>0.15-0.6</t>
  </si>
  <si>
    <t>0.6-1</t>
  </si>
  <si>
    <t>67.3-70.7</t>
  </si>
  <si>
    <t>115-128</t>
  </si>
  <si>
    <t>83-100</t>
  </si>
  <si>
    <t>120-132</t>
  </si>
  <si>
    <t>218-241</t>
  </si>
  <si>
    <t>22.8-26.4</t>
  </si>
  <si>
    <t>62-68</t>
  </si>
  <si>
    <t>97-117</t>
  </si>
  <si>
    <t>164-177</t>
  </si>
  <si>
    <t>11.4-13.3</t>
  </si>
  <si>
    <t>105-110</t>
  </si>
  <si>
    <t>326-360</t>
  </si>
  <si>
    <t>173-187</t>
  </si>
  <si>
    <t>247-273</t>
  </si>
  <si>
    <t>92-97</t>
  </si>
  <si>
    <t>133-161</t>
  </si>
  <si>
    <t>95.3-98.2</t>
  </si>
  <si>
    <t>0.8-1.2</t>
  </si>
  <si>
    <t>2.67e3-2.76e3</t>
  </si>
  <si>
    <t>58-64</t>
  </si>
  <si>
    <t>122-137</t>
  </si>
  <si>
    <t>23-28</t>
  </si>
  <si>
    <t>81-110</t>
  </si>
  <si>
    <t>585-650</t>
  </si>
  <si>
    <t>194-210</t>
  </si>
  <si>
    <t>22.3-24.1</t>
  </si>
  <si>
    <t>168-186</t>
  </si>
  <si>
    <t>278-308</t>
  </si>
  <si>
    <t>344-380</t>
  </si>
  <si>
    <t>363-402</t>
  </si>
  <si>
    <t>10.6-12.4</t>
  </si>
  <si>
    <t>118-124</t>
  </si>
  <si>
    <t>159-192</t>
  </si>
  <si>
    <t>94.8-97.8</t>
  </si>
  <si>
    <t>0.6-1.1</t>
  </si>
  <si>
    <t>2.69e3-2.73e3</t>
  </si>
  <si>
    <t>66.6-70</t>
  </si>
  <si>
    <t>324-378</t>
  </si>
  <si>
    <t>365-426</t>
  </si>
  <si>
    <t>7.18-10.3</t>
  </si>
  <si>
    <t>142-157</t>
  </si>
  <si>
    <t>127-148</t>
  </si>
  <si>
    <t>522-641</t>
  </si>
  <si>
    <t>24.5-25.8</t>
  </si>
  <si>
    <t>96.4-98.8</t>
  </si>
  <si>
    <t>0.25-0.6</t>
  </si>
  <si>
    <t>46.3-54</t>
  </si>
  <si>
    <t>44.8-52.2</t>
  </si>
  <si>
    <t>92.6-108</t>
  </si>
  <si>
    <t>22-32</t>
  </si>
  <si>
    <t>610-655</t>
  </si>
  <si>
    <t>210-230</t>
  </si>
  <si>
    <t>880-916</t>
  </si>
  <si>
    <t>83.3-97.2</t>
  </si>
  <si>
    <t>139-162</t>
  </si>
  <si>
    <t>20-29</t>
  </si>
  <si>
    <t>65.5-76.4</t>
  </si>
  <si>
    <t>187-203</t>
  </si>
  <si>
    <t>65-75.8</t>
  </si>
  <si>
    <t>130-152</t>
  </si>
  <si>
    <t>56.4-65.8</t>
  </si>
  <si>
    <t>180-194</t>
  </si>
  <si>
    <t>171-199</t>
  </si>
  <si>
    <t>204-238</t>
  </si>
  <si>
    <t>10.8-15.6</t>
  </si>
  <si>
    <t>80.7-94.1</t>
  </si>
  <si>
    <t>201-217</t>
  </si>
  <si>
    <t>T43 Solution heat-treated and naturally aged to a subtsantially stable condition</t>
  </si>
  <si>
    <t>T4e32 Solution heat-treated and naturally aged to a subtsantially stable condition</t>
  </si>
  <si>
    <t>96.7-98.7</t>
  </si>
  <si>
    <t>0.01-0.11</t>
  </si>
  <si>
    <t>0.8-1.5</t>
  </si>
  <si>
    <t>135-149</t>
  </si>
  <si>
    <t>24.7-28.7</t>
  </si>
  <si>
    <t>114-137</t>
  </si>
  <si>
    <t>580-650</t>
  </si>
  <si>
    <t>126-140</t>
  </si>
  <si>
    <t>25.4-29.6</t>
  </si>
  <si>
    <t>61-64</t>
  </si>
  <si>
    <t>113-137</t>
  </si>
  <si>
    <t>124-238</t>
  </si>
  <si>
    <t>233-257</t>
  </si>
  <si>
    <t>100-105</t>
  </si>
  <si>
    <t>143-174</t>
  </si>
  <si>
    <t>97.8-99.2</t>
  </si>
  <si>
    <t>0.1-0.3</t>
  </si>
  <si>
    <t>0.35-0.6</t>
  </si>
  <si>
    <t>60-70</t>
  </si>
  <si>
    <t>183-191</t>
  </si>
  <si>
    <t>878-914</t>
  </si>
  <si>
    <t>150-175</t>
  </si>
  <si>
    <t>190-222</t>
  </si>
  <si>
    <t>68.4-79.8</t>
  </si>
  <si>
    <t>T451 Solution heat-treated and naturally aged substantially stable condition</t>
  </si>
  <si>
    <t>T652 Solution heat-treated and artificially aged</t>
  </si>
  <si>
    <t>95.8-98.6</t>
  </si>
  <si>
    <t>0.04-0.35</t>
  </si>
  <si>
    <t>0.15-0.4</t>
  </si>
  <si>
    <t>206-240</t>
  </si>
  <si>
    <t>74-87</t>
  </si>
  <si>
    <t>91.1-106</t>
  </si>
  <si>
    <t>934-972</t>
  </si>
  <si>
    <t>87-108</t>
  </si>
  <si>
    <t>582-652</t>
  </si>
  <si>
    <t>110-128</t>
  </si>
  <si>
    <t>193-225</t>
  </si>
  <si>
    <t>16.7-24</t>
  </si>
  <si>
    <t>70-76</t>
  </si>
  <si>
    <t>86.4-101</t>
  </si>
  <si>
    <t>290-338</t>
  </si>
  <si>
    <t>100-107</t>
  </si>
  <si>
    <t>112-131</t>
  </si>
  <si>
    <t>152-169</t>
  </si>
  <si>
    <t>68-71.5</t>
  </si>
  <si>
    <t>262-296</t>
  </si>
  <si>
    <t>6.0-11.0</t>
  </si>
  <si>
    <t>67-108</t>
  </si>
  <si>
    <t>62-100</t>
  </si>
  <si>
    <t>241-281</t>
  </si>
  <si>
    <t>274-320</t>
  </si>
  <si>
    <t>106-124</t>
  </si>
  <si>
    <t>A332.0 T5 (a): LM13-TE - A03320 - A03360</t>
  </si>
  <si>
    <t>A332.0 (b): LM13-TF - A03320 - A03360</t>
  </si>
  <si>
    <t>Others</t>
  </si>
  <si>
    <t>EN AC-43100</t>
  </si>
  <si>
    <t>EN AC-46500</t>
  </si>
  <si>
    <t xml:space="preserve">EN AC-44100 </t>
  </si>
  <si>
    <t>EN AW-1080</t>
  </si>
  <si>
    <t>EN AW-2008</t>
  </si>
  <si>
    <t>EN AW- 2010</t>
  </si>
  <si>
    <t>EN AW-2017</t>
  </si>
  <si>
    <t xml:space="preserve">EN AW-2024 </t>
  </si>
  <si>
    <t>EN AW-2025</t>
  </si>
  <si>
    <t>EN AW-2026</t>
  </si>
  <si>
    <t>EN AW-2036</t>
  </si>
  <si>
    <t>EN AW-2090</t>
  </si>
  <si>
    <t>EN AW-2219</t>
  </si>
  <si>
    <t>EN AW-2224A</t>
  </si>
  <si>
    <t>EN AW-2297</t>
  </si>
  <si>
    <t>EN AW-2424</t>
  </si>
  <si>
    <t>EN AW-2519</t>
  </si>
  <si>
    <t>EN AW-2524</t>
  </si>
  <si>
    <t xml:space="preserve">EN AW-3004 </t>
  </si>
  <si>
    <t xml:space="preserve">EN AW-3103 </t>
  </si>
  <si>
    <t xml:space="preserve">EN AW-5154 </t>
  </si>
  <si>
    <t xml:space="preserve">EN AW-5182 </t>
  </si>
  <si>
    <t>Symbolic and Numeric</t>
  </si>
  <si>
    <t>Alloy Designation</t>
  </si>
  <si>
    <t>EN AC-45200 - EN AC-Al Si6Cu4</t>
  </si>
  <si>
    <t>EN AC-45300 - EN AC-Al Si5Cu1Mg</t>
  </si>
  <si>
    <t>EN AC-42000 - EN AC-Al Si7Mg</t>
  </si>
  <si>
    <t xml:space="preserve">AA 319.0 - A03190 </t>
  </si>
  <si>
    <t>AA 319.0 - A03190</t>
  </si>
  <si>
    <t xml:space="preserve">AA 355.0 - A03550 </t>
  </si>
  <si>
    <t>AA 355.0 - A03550</t>
  </si>
  <si>
    <t>AA 356.0 - A03560</t>
  </si>
  <si>
    <t xml:space="preserve">AA 356.0 - A03560 </t>
  </si>
  <si>
    <t>EN AC-43100 - EN AC-Al Si10Mg</t>
  </si>
  <si>
    <t>AA 360.0 - A03600</t>
  </si>
  <si>
    <t>A 380.0 (Aluminum Association) - A13800</t>
  </si>
  <si>
    <t xml:space="preserve">A356.0 - A13560 </t>
  </si>
  <si>
    <t xml:space="preserve">A360.0 - A13600 </t>
  </si>
  <si>
    <t>C355.0 - A33550</t>
  </si>
  <si>
    <t>EN AC-46000 - EN AC-Al Si9Cu3(Fe)</t>
  </si>
  <si>
    <t>EN AC-47100 (DIN EN 1706) - EN AC-Al Si12Cu1(Fe)</t>
  </si>
  <si>
    <t xml:space="preserve">D357.0 </t>
  </si>
  <si>
    <t>EN AC-51300 - EN AC-Al Mg5</t>
  </si>
  <si>
    <t>514.0 - A05140</t>
  </si>
  <si>
    <t xml:space="preserve">EN AW-1050A (EN AW-Al99,5) </t>
  </si>
  <si>
    <t xml:space="preserve">EN AW-1200 (EN AW-Al99,0) </t>
  </si>
  <si>
    <t xml:space="preserve">EN AW-2014 (EN AW-Al Cu4SiMg) </t>
  </si>
  <si>
    <t>1050A - A91050 - 3.0255</t>
  </si>
  <si>
    <t>1050A - A91050- 3.0255</t>
  </si>
  <si>
    <t xml:space="preserve">1080 - A91080 </t>
  </si>
  <si>
    <t>1200 - A91200 -  3.0205</t>
  </si>
  <si>
    <t xml:space="preserve">2008 wrought - A92008 </t>
  </si>
  <si>
    <t xml:space="preserve">2010 wrought - A92010 </t>
  </si>
  <si>
    <t>2010 wrought - A92010</t>
  </si>
  <si>
    <t>2014 wrought - A92014 - 3.1255</t>
  </si>
  <si>
    <t>2017 wrought - A92017</t>
  </si>
  <si>
    <t xml:space="preserve">2017 wrought - A92017 </t>
  </si>
  <si>
    <t>2024 wrought - A92024 - 3.1355</t>
  </si>
  <si>
    <t>2024 wrought - A92024- 3.1355</t>
  </si>
  <si>
    <t>2025 wrought - A92025</t>
  </si>
  <si>
    <t>2026 wrought - A92026</t>
  </si>
  <si>
    <t>2036 wrought - A92036</t>
  </si>
  <si>
    <t>2090 wrought - A92090</t>
  </si>
  <si>
    <t>EN AW-2618 (EN AW-Al Cu2Mg1.5Ni)</t>
  </si>
  <si>
    <t>EN AW-3103</t>
  </si>
  <si>
    <t xml:space="preserve">EN AW-Al Mn0.5Mg0.5 </t>
  </si>
  <si>
    <t xml:space="preserve">EN AW-5005 (EN AW-Al Mg1(B)) </t>
  </si>
  <si>
    <t xml:space="preserve">EN AW-5052 </t>
  </si>
  <si>
    <t xml:space="preserve">EN AW-5083 (EN AW-Al Mg4.5Mn0.7) </t>
  </si>
  <si>
    <t>EN AW-5086 (EN AW-Al Mg4)</t>
  </si>
  <si>
    <t xml:space="preserve">EN AW-5086 (EN AW-Al Mg4) </t>
  </si>
  <si>
    <t xml:space="preserve">EN AW-5251 (EN AW-Al Mg2) </t>
  </si>
  <si>
    <t xml:space="preserve">EN AW-5454 (EN AW-Al Mg3Mn) </t>
  </si>
  <si>
    <t>EN AW-5456 (EN AW-Al Mg5Mn1(A))</t>
  </si>
  <si>
    <t xml:space="preserve">EN AW-5754 </t>
  </si>
  <si>
    <t>EN AW-5754</t>
  </si>
  <si>
    <t>EN AW-6005</t>
  </si>
  <si>
    <t xml:space="preserve">EN AW-6005A </t>
  </si>
  <si>
    <t>EN AW-6009</t>
  </si>
  <si>
    <t>EN AW-6010</t>
  </si>
  <si>
    <t>EN AW-6013</t>
  </si>
  <si>
    <t>EN AW-6016</t>
  </si>
  <si>
    <t>EN AW-6022</t>
  </si>
  <si>
    <t xml:space="preserve">EN AW-6060 </t>
  </si>
  <si>
    <t xml:space="preserve">EN AW-6061 </t>
  </si>
  <si>
    <t xml:space="preserve">2219 wrought -  A92219 </t>
  </si>
  <si>
    <t xml:space="preserve">2224A wrought -  A92224A </t>
  </si>
  <si>
    <t xml:space="preserve">2297 wrought -  A92297 </t>
  </si>
  <si>
    <t xml:space="preserve">2424 wrought -  A92424 </t>
  </si>
  <si>
    <t xml:space="preserve">2519 wrought -  A92519 </t>
  </si>
  <si>
    <t xml:space="preserve">2618 wrought -  A92618 </t>
  </si>
  <si>
    <t>2524 wrought -  A92524</t>
  </si>
  <si>
    <t>2618 wrought -  A92618</t>
  </si>
  <si>
    <t xml:space="preserve">3004 wrought -  A93004 </t>
  </si>
  <si>
    <t>3004 wrought -  A93004</t>
  </si>
  <si>
    <t xml:space="preserve">3103 wrought -   A93103 </t>
  </si>
  <si>
    <t>3103 wrought -   A93103 -</t>
  </si>
  <si>
    <t>3105 wrought -   A93105 - EN 3.0505</t>
  </si>
  <si>
    <t>5005 wrought -   A95005 - EN 3.3315</t>
  </si>
  <si>
    <t>5052 wrought -  A95052- EN 3.3523 - ISO Al Mg2.5 - JIS A5052</t>
  </si>
  <si>
    <t>5052 wrought -  A95052 - EN 3.3523 - ISO Al Mg2.5 - JIS A5052</t>
  </si>
  <si>
    <t>6061 wrought - A96061  - EN 3.3211</t>
  </si>
  <si>
    <t>6061 wrought - A96061 - EN 3.3211</t>
  </si>
  <si>
    <t>6060 wrought - A96060 - EN 3.3206</t>
  </si>
  <si>
    <t>6022 wrought - A96022</t>
  </si>
  <si>
    <t xml:space="preserve">6022 wrought - A96022 </t>
  </si>
  <si>
    <t xml:space="preserve">6016 wrought - A96016 </t>
  </si>
  <si>
    <t>6016 wrought - A96016</t>
  </si>
  <si>
    <t>6013 wrought - A96013</t>
  </si>
  <si>
    <t xml:space="preserve">6010 wrought - A96010 </t>
  </si>
  <si>
    <t>6010 wrought - A96010</t>
  </si>
  <si>
    <t>6009 wrought - A96009</t>
  </si>
  <si>
    <t xml:space="preserve">6009 wrought - A96009 </t>
  </si>
  <si>
    <t>6005A wrought - A96005A - EN 3.3210 - ISO Al SiMg(A) - JIS A6NO1</t>
  </si>
  <si>
    <t xml:space="preserve">6005 wrought - A96005 </t>
  </si>
  <si>
    <t xml:space="preserve">5754 wrought - A95754 - EN 3.3535 - ISO Al Mg3 </t>
  </si>
  <si>
    <t xml:space="preserve">5456 wrought - A95456 </t>
  </si>
  <si>
    <t>5454 wrought - A95454 - EN 3.3537</t>
  </si>
  <si>
    <t>5251 wrought - A95251 - EN 3.3525</t>
  </si>
  <si>
    <t>5182 wrought - A95182 - ISO Al Mg4.5Mn0.4</t>
  </si>
  <si>
    <t xml:space="preserve">5154 wrought - A95154 </t>
  </si>
  <si>
    <t>5154 wrought - A95154</t>
  </si>
  <si>
    <t>5086 wrought - A95086 - EN 3.3545</t>
  </si>
  <si>
    <t>5083 wrought -  A95083 - EN 3.3547</t>
  </si>
  <si>
    <t>T7 Cast, solution heat-treated and overged or stabilized</t>
  </si>
  <si>
    <t>T7 Permanent mold cast, solution heat-treated and overged or stabilized</t>
  </si>
  <si>
    <t>T6 Pemanent mold cast, solution heat-treated and artificially aged</t>
  </si>
  <si>
    <t>T5 Pemanent mold cast, cooled from an elevated-temperature shaping process and artificially aged</t>
  </si>
  <si>
    <t>T551 Cooled from an elevated-temperature shaping process and artificially aged</t>
  </si>
  <si>
    <t>T65 Solution heat-treated and overged or stabilized</t>
  </si>
  <si>
    <t>T6 Sand cast, solution heat-treated and artificially aged</t>
  </si>
  <si>
    <t>T6 Investment cast, solution heat-treated and artificially aged</t>
  </si>
  <si>
    <t>T6 Permanent mold cast, solution heat-treated and artificially aged</t>
  </si>
  <si>
    <t>Hardness (HBV)</t>
  </si>
  <si>
    <t>95-110</t>
  </si>
  <si>
    <t>78-84</t>
  </si>
  <si>
    <t>78-85</t>
  </si>
  <si>
    <t>78-86</t>
  </si>
  <si>
    <t>110-132</t>
  </si>
  <si>
    <t>72-84</t>
  </si>
  <si>
    <t>55-76</t>
  </si>
  <si>
    <t>55-77</t>
  </si>
  <si>
    <t>55-78</t>
  </si>
  <si>
    <t>https://www.makeitfrom.com/material-properties/360.0-360.0-F-SG100B-A03600-Cast-Aluminum</t>
  </si>
  <si>
    <t>EN AW-6063</t>
  </si>
  <si>
    <t>6063 wrought - A96063 - EN 3.3206 - Al Mg0.7Si - JIS A6063</t>
  </si>
  <si>
    <t>97.5-99.4</t>
  </si>
  <si>
    <t>0.45-0.9</t>
  </si>
  <si>
    <t>0.2-0.6</t>
  </si>
  <si>
    <t>2.67e3-2.72e3</t>
  </si>
  <si>
    <t>67.2-70.6</t>
  </si>
  <si>
    <t>111-130</t>
  </si>
  <si>
    <t>18-25.9</t>
  </si>
  <si>
    <t>25-27</t>
  </si>
  <si>
    <t>50.9-59.4</t>
  </si>
  <si>
    <t>615-655</t>
  </si>
  <si>
    <t>209-227</t>
  </si>
  <si>
    <t>881-917</t>
  </si>
  <si>
    <t>T8 Solution heat-treated, cold worked and artificially aged</t>
  </si>
  <si>
    <t>T831 Solution heat-trated, cold worked, and artificially aged</t>
  </si>
  <si>
    <t>T832 Solution heat-trated, cold worked, and artificially aged</t>
  </si>
  <si>
    <t>115-134</t>
  </si>
  <si>
    <t>12-17.3</t>
  </si>
  <si>
    <t>46.9-54.7</t>
  </si>
  <si>
    <t>70-81.6</t>
  </si>
  <si>
    <t>57.5-67</t>
  </si>
  <si>
    <t>189-205</t>
  </si>
  <si>
    <t>54.1-63</t>
  </si>
  <si>
    <t>6063 wrought - A96063</t>
  </si>
  <si>
    <t>EN AW-6063 (EN AW-Al Mg0.7Si)</t>
  </si>
  <si>
    <t>205-239</t>
  </si>
  <si>
    <t>9.0-13.0</t>
  </si>
  <si>
    <t>76.5-89.3</t>
  </si>
  <si>
    <t>222-259</t>
  </si>
  <si>
    <t>7.5-10.8</t>
  </si>
  <si>
    <t>85-99.1</t>
  </si>
  <si>
    <t>193-209</t>
  </si>
  <si>
    <t>229-253</t>
  </si>
  <si>
    <t>8.33-9.68</t>
  </si>
  <si>
    <t>131-159</t>
  </si>
  <si>
    <t>122-147</t>
  </si>
  <si>
    <t>256-282</t>
  </si>
  <si>
    <t>85-86</t>
  </si>
  <si>
    <t>138-167</t>
  </si>
  <si>
    <t>6066 wrought - A96066</t>
  </si>
  <si>
    <t>93-97</t>
  </si>
  <si>
    <t>0.8-1.4</t>
  </si>
  <si>
    <t>0.9-1.8</t>
  </si>
  <si>
    <t>2.78e3-2.82e3</t>
  </si>
  <si>
    <t>300-350</t>
  </si>
  <si>
    <t>345-402</t>
  </si>
  <si>
    <t>129-142</t>
  </si>
  <si>
    <t>152-203</t>
  </si>
  <si>
    <t>625-665</t>
  </si>
  <si>
    <t>141-153</t>
  </si>
  <si>
    <t>870-905</t>
  </si>
  <si>
    <t>21.2-25.2</t>
  </si>
  <si>
    <t>6070 wrought</t>
  </si>
  <si>
    <t>94.6-98</t>
  </si>
  <si>
    <t>1-1.7</t>
  </si>
  <si>
    <t>2.68e3-2.72e3</t>
  </si>
  <si>
    <t>310-362</t>
  </si>
  <si>
    <t>330-385</t>
  </si>
  <si>
    <t>6-8.64</t>
  </si>
  <si>
    <t>88-103</t>
  </si>
  <si>
    <t>629-669</t>
  </si>
  <si>
    <t>165-179</t>
  </si>
  <si>
    <t>874-909</t>
  </si>
  <si>
    <t xml:space="preserve">EN AW-6082 (EN AW-Al Si1MgMn) </t>
  </si>
  <si>
    <t xml:space="preserve">6082 wrought - A96082 - EN 3.2315 </t>
  </si>
  <si>
    <t>95.2-98.3</t>
  </si>
  <si>
    <t>0.6-1.2</t>
  </si>
  <si>
    <t>82.7-96.4</t>
  </si>
  <si>
    <t>164-170</t>
  </si>
  <si>
    <t>EN AW-6151</t>
  </si>
  <si>
    <t>6151 wrought - A96151</t>
  </si>
  <si>
    <t>95.6-98.8</t>
  </si>
  <si>
    <t>0.45-0.8</t>
  </si>
  <si>
    <t>67.9-71.3</t>
  </si>
  <si>
    <t>303-353</t>
  </si>
  <si>
    <t>103-108</t>
  </si>
  <si>
    <t>117-136</t>
  </si>
  <si>
    <t>588-650</t>
  </si>
  <si>
    <t>173-188</t>
  </si>
  <si>
    <t>6262 wrought - A96262</t>
  </si>
  <si>
    <t>95-98</t>
  </si>
  <si>
    <t>Bi</t>
  </si>
  <si>
    <t>0.04-0.15</t>
  </si>
  <si>
    <t>88-97</t>
  </si>
  <si>
    <t>562-602</t>
  </si>
  <si>
    <t>876-912</t>
  </si>
  <si>
    <t>21.4-25.4</t>
  </si>
  <si>
    <t>T9 Solution heat-treated, artificially aged and cold worked</t>
  </si>
  <si>
    <t>336-394</t>
  </si>
  <si>
    <t>4-5.76</t>
  </si>
  <si>
    <t>82-90</t>
  </si>
  <si>
    <t>EN AW-7010 (EN AW-Al Zn6MgCu)</t>
  </si>
  <si>
    <t>7010 wrought - A97010</t>
  </si>
  <si>
    <t>T7451 Solution heat-treated and overaged or stabilized</t>
  </si>
  <si>
    <t>87.9-90.6</t>
  </si>
  <si>
    <t>1.5-2</t>
  </si>
  <si>
    <t>5.7-67</t>
  </si>
  <si>
    <t>0.1-0.16</t>
  </si>
  <si>
    <t>359-427</t>
  </si>
  <si>
    <t>434-496</t>
  </si>
  <si>
    <t>2.0-9.0</t>
  </si>
  <si>
    <t>100-150</t>
  </si>
  <si>
    <t>239-273</t>
  </si>
  <si>
    <t>480-630</t>
  </si>
  <si>
    <t>164-178</t>
  </si>
  <si>
    <t>365-455</t>
  </si>
  <si>
    <t>455-524</t>
  </si>
  <si>
    <t>2.0-8.0</t>
  </si>
  <si>
    <t>250-288</t>
  </si>
  <si>
    <t>EN AW-7020 (EN AW-Al Zn4.5Mg1)</t>
  </si>
  <si>
    <t>7020 wrought - A97020 - EN 3.4335</t>
  </si>
  <si>
    <t>91.4-94.8</t>
  </si>
  <si>
    <t>0.1-0.35</t>
  </si>
  <si>
    <t>1-1.4</t>
  </si>
  <si>
    <t>0.08-0.2</t>
  </si>
  <si>
    <t>2.75e3-2.81e3</t>
  </si>
  <si>
    <t>299-331</t>
  </si>
  <si>
    <t>356-394</t>
  </si>
  <si>
    <t>111-113</t>
  </si>
  <si>
    <t>605-645</t>
  </si>
  <si>
    <t>136-142</t>
  </si>
  <si>
    <t>T7651 Solution heat-treated and overaged or stabilized</t>
  </si>
  <si>
    <t>318-352</t>
  </si>
  <si>
    <t>361-399</t>
  </si>
  <si>
    <t>113-131</t>
  </si>
  <si>
    <t>116-118</t>
  </si>
  <si>
    <t>137-143</t>
  </si>
  <si>
    <t>EN AW-7040</t>
  </si>
  <si>
    <t>7040 wrought - A97040</t>
  </si>
  <si>
    <t>88-91</t>
  </si>
  <si>
    <t>0-0.04</t>
  </si>
  <si>
    <t>1.5-2.3</t>
  </si>
  <si>
    <t>0-0.13</t>
  </si>
  <si>
    <t>5.7-6.7</t>
  </si>
  <si>
    <t>0.05-0.12</t>
  </si>
  <si>
    <t>2.82e3-2.84e3</t>
  </si>
  <si>
    <t>66-70</t>
  </si>
  <si>
    <t>358-447</t>
  </si>
  <si>
    <t>438-514</t>
  </si>
  <si>
    <t>110-260</t>
  </si>
  <si>
    <t>215-231</t>
  </si>
  <si>
    <t>17-45</t>
  </si>
  <si>
    <t>475-635</t>
  </si>
  <si>
    <t>157-170</t>
  </si>
  <si>
    <t>1e3-1.08e3</t>
  </si>
  <si>
    <t>23-24.9</t>
  </si>
  <si>
    <t>EN AW-Al Zn8MgCu</t>
  </si>
  <si>
    <t>7049 wrought - A97049</t>
  </si>
  <si>
    <t>T73 Solution heat-treated and overaged or stabilized</t>
  </si>
  <si>
    <t>85.7-89.5</t>
  </si>
  <si>
    <t>0.1-0.22</t>
  </si>
  <si>
    <t>2-2.9</t>
  </si>
  <si>
    <t>1.2-1.9</t>
  </si>
  <si>
    <t>7.2-8.2</t>
  </si>
  <si>
    <t>379-441</t>
  </si>
  <si>
    <t>455-510</t>
  </si>
  <si>
    <t>135-155</t>
  </si>
  <si>
    <t>250-281</t>
  </si>
  <si>
    <t>30.1-39.4</t>
  </si>
  <si>
    <t>154-167</t>
  </si>
  <si>
    <t>963-1.05e3</t>
  </si>
  <si>
    <t>T7351 Solution heat-treated and overaged or stabilized</t>
  </si>
  <si>
    <t>T73511 Solution heat-treated and overaged or stabilized</t>
  </si>
  <si>
    <t>372-448</t>
  </si>
  <si>
    <t>434-510</t>
  </si>
  <si>
    <t>239-281</t>
  </si>
  <si>
    <t>26.8-30.5</t>
  </si>
  <si>
    <t>469-518</t>
  </si>
  <si>
    <t>5.0-7.0</t>
  </si>
  <si>
    <t>258-285</t>
  </si>
  <si>
    <t>25.8-37.4</t>
  </si>
  <si>
    <t>T74 Solution heat-treated and overaged or stabilized</t>
  </si>
  <si>
    <t>T74511 Solution heat-treated and overaged or stabilized</t>
  </si>
  <si>
    <t>T7452 Solution heat-treated and overaged or stabilized</t>
  </si>
  <si>
    <t>T76511 Solution heat-treated and overaged or stabilized</t>
  </si>
  <si>
    <t>EN AW-7050 (EN AW-Al Zn6CuMgZr)</t>
  </si>
  <si>
    <t>7050 wrought - A97050 - EN 3.4144</t>
  </si>
  <si>
    <t>87.3-90.3</t>
  </si>
  <si>
    <t>2-2.6</t>
  </si>
  <si>
    <t>359-414</t>
  </si>
  <si>
    <t>427-483</t>
  </si>
  <si>
    <t>8-9.3</t>
  </si>
  <si>
    <t>36.3-43.3</t>
  </si>
  <si>
    <t>524-635</t>
  </si>
  <si>
    <t>372-427</t>
  </si>
  <si>
    <t>455-503</t>
  </si>
  <si>
    <t>28-38</t>
  </si>
  <si>
    <t>2.0-10.0</t>
  </si>
  <si>
    <t>23.1-42.9</t>
  </si>
  <si>
    <t>372-434</t>
  </si>
  <si>
    <t>441-503</t>
  </si>
  <si>
    <t>7-8.14</t>
  </si>
  <si>
    <t>38.9-49.9</t>
  </si>
  <si>
    <t>345-434</t>
  </si>
  <si>
    <t>441-496</t>
  </si>
  <si>
    <t>3.0-9.0</t>
  </si>
  <si>
    <t>32.9-35.5</t>
  </si>
  <si>
    <t>407-490</t>
  </si>
  <si>
    <t>483-552</t>
  </si>
  <si>
    <t>1.5-9</t>
  </si>
  <si>
    <t>33.6-39.8</t>
  </si>
  <si>
    <t>469-545</t>
  </si>
  <si>
    <t>32.2-44.3</t>
  </si>
  <si>
    <t>EN AW-7055</t>
  </si>
  <si>
    <t>7055 wrought - A97055</t>
  </si>
  <si>
    <t>T7751 Solution heat-treated and overaged or stabilized</t>
  </si>
  <si>
    <t>T77511 Solution heat-treated and overaged or stabilized</t>
  </si>
  <si>
    <t>85.9-88.5</t>
  </si>
  <si>
    <t>1.8-2.3</t>
  </si>
  <si>
    <t>7.6-8.4</t>
  </si>
  <si>
    <t>0.08-0.25</t>
  </si>
  <si>
    <t>67-71</t>
  </si>
  <si>
    <t>552-615</t>
  </si>
  <si>
    <t>574-640</t>
  </si>
  <si>
    <t>158-305</t>
  </si>
  <si>
    <t>250-290</t>
  </si>
  <si>
    <t>26.4-33</t>
  </si>
  <si>
    <t>131-178</t>
  </si>
  <si>
    <t>875-1.05e3</t>
  </si>
  <si>
    <t>22.7-24.7</t>
  </si>
  <si>
    <t>541-628</t>
  </si>
  <si>
    <t>567-670</t>
  </si>
  <si>
    <t>5.0-11.0</t>
  </si>
  <si>
    <t>166-320</t>
  </si>
  <si>
    <t>312-369</t>
  </si>
  <si>
    <t>EN AW-7075 (EN AW-Al Zn5.5MgCu)</t>
  </si>
  <si>
    <t>7075 wrought - A97075 - EN 3.4365</t>
  </si>
  <si>
    <t>T7352 Solution heat-treated and overaged or stabilized</t>
  </si>
  <si>
    <t>T76 Solution heat-treated and overaged or stabilized</t>
  </si>
  <si>
    <t>87.2-91.4</t>
  </si>
  <si>
    <t>0.18-0.28</t>
  </si>
  <si>
    <t>1.2-2</t>
  </si>
  <si>
    <t>2.1-2.9</t>
  </si>
  <si>
    <t>5.1-6.1</t>
  </si>
  <si>
    <t>386-462</t>
  </si>
  <si>
    <t>119-168</t>
  </si>
  <si>
    <t>130-168</t>
  </si>
  <si>
    <t>13.2-45</t>
  </si>
  <si>
    <t>913-950</t>
  </si>
  <si>
    <t>359-530</t>
  </si>
  <si>
    <t>434-580</t>
  </si>
  <si>
    <t>26.6-26.8</t>
  </si>
  <si>
    <t>913-979</t>
  </si>
  <si>
    <t>317-531</t>
  </si>
  <si>
    <t>427-586</t>
  </si>
  <si>
    <t>132-145</t>
  </si>
  <si>
    <t>345-496</t>
  </si>
  <si>
    <t>421-552</t>
  </si>
  <si>
    <t>26.9-38</t>
  </si>
  <si>
    <t>475-630</t>
  </si>
  <si>
    <t>132-142</t>
  </si>
  <si>
    <t>372-462</t>
  </si>
  <si>
    <t>448-476</t>
  </si>
  <si>
    <t>1.0-9.0</t>
  </si>
  <si>
    <t>303-448</t>
  </si>
  <si>
    <t>386-510</t>
  </si>
  <si>
    <t>20.4-21.5</t>
  </si>
  <si>
    <t>317-407</t>
  </si>
  <si>
    <t>393-490</t>
  </si>
  <si>
    <t>6.0-7.0</t>
  </si>
  <si>
    <t>20.3-32.3</t>
  </si>
  <si>
    <t>303-407</t>
  </si>
  <si>
    <t>393-476</t>
  </si>
  <si>
    <t>23.8-36.9</t>
  </si>
  <si>
    <t>448-496</t>
  </si>
  <si>
    <t>5.0-8.0</t>
  </si>
  <si>
    <t>19.6-31.3</t>
  </si>
  <si>
    <t>EN AW-7149 (EN AW-Al Zn8MgCu(A))</t>
  </si>
  <si>
    <t xml:space="preserve">7149 wrought - A97149 </t>
  </si>
  <si>
    <t>86-89.5</t>
  </si>
  <si>
    <t>100-160</t>
  </si>
  <si>
    <t>140-165</t>
  </si>
  <si>
    <t>26.6-34.6</t>
  </si>
  <si>
    <t>EN AW-7150 (EN AW-Al Zn6CuMgZr)</t>
  </si>
  <si>
    <t>7150 wrought - A97150</t>
  </si>
  <si>
    <t>T6151 Solution heat-treated and artificially aged</t>
  </si>
  <si>
    <t>T61511 Solution heat-treated and artificially aged</t>
  </si>
  <si>
    <t>87.1-90.1</t>
  </si>
  <si>
    <t>1.9-2.5</t>
  </si>
  <si>
    <t>2-2.7</t>
  </si>
  <si>
    <t>5.9-6.9</t>
  </si>
  <si>
    <t>524-579</t>
  </si>
  <si>
    <t>579-640</t>
  </si>
  <si>
    <t>9-10.5</t>
  </si>
  <si>
    <t>469-607</t>
  </si>
  <si>
    <t>510-648</t>
  </si>
  <si>
    <t>462-538</t>
  </si>
  <si>
    <t>531-587</t>
  </si>
  <si>
    <t>558-617</t>
  </si>
  <si>
    <t>EN AW-7175 (EN AW-Al Zn5.5MgCu(A))</t>
  </si>
  <si>
    <t>T66 Solution heat-treated and artificially aged</t>
  </si>
  <si>
    <t>7175 wrought - A97175</t>
  </si>
  <si>
    <t>88-91.4</t>
  </si>
  <si>
    <t>4.0-7.0</t>
  </si>
  <si>
    <t>531-593</t>
  </si>
  <si>
    <t>149-169</t>
  </si>
  <si>
    <t>22.1-28.9</t>
  </si>
  <si>
    <t>532-630</t>
  </si>
  <si>
    <t>359-407</t>
  </si>
  <si>
    <t>4.0-8.0</t>
  </si>
  <si>
    <t>62-148</t>
  </si>
  <si>
    <t>28.9-43.2</t>
  </si>
  <si>
    <t>359-462</t>
  </si>
  <si>
    <t>434-531</t>
  </si>
  <si>
    <t>4.0-9.0</t>
  </si>
  <si>
    <t>22-41.8</t>
  </si>
  <si>
    <t>317-421</t>
  </si>
  <si>
    <t>414-490</t>
  </si>
  <si>
    <t>22-45</t>
  </si>
  <si>
    <t>EN AW-7249</t>
  </si>
  <si>
    <t>7249 wrought - A7249</t>
  </si>
  <si>
    <t>86.8-89.1</t>
  </si>
  <si>
    <t>0.12-0.18</t>
  </si>
  <si>
    <t>1.3-1.9</t>
  </si>
  <si>
    <t>7.5-8.2</t>
  </si>
  <si>
    <t>2.79e3-2.81e3</t>
  </si>
  <si>
    <t>365-469</t>
  </si>
  <si>
    <t>74.6-78.4</t>
  </si>
  <si>
    <t>503-556</t>
  </si>
  <si>
    <t>521-626</t>
  </si>
  <si>
    <t>10.7-14.1</t>
  </si>
  <si>
    <t>158-176</t>
  </si>
  <si>
    <t>23-36</t>
  </si>
  <si>
    <t>833-867</t>
  </si>
  <si>
    <t>21.6-22.7</t>
  </si>
  <si>
    <t>EN AW-7475 (EN AW-Al Zn5.5MgCu(A))</t>
  </si>
  <si>
    <t>7475 wrought - A97475</t>
  </si>
  <si>
    <t>T761 Solution heat-treated and overaged or stabilized</t>
  </si>
  <si>
    <t>88.6-91.5</t>
  </si>
  <si>
    <t>0.18-0.25</t>
  </si>
  <si>
    <t>5.2-6.2</t>
  </si>
  <si>
    <t>407-462</t>
  </si>
  <si>
    <t>205-235</t>
  </si>
  <si>
    <t>538-630</t>
  </si>
  <si>
    <t>139-150</t>
  </si>
  <si>
    <t>462-511</t>
  </si>
  <si>
    <t>186-204</t>
  </si>
  <si>
    <t>41.4-46.7</t>
  </si>
  <si>
    <t>434-503</t>
  </si>
  <si>
    <t>148-164</t>
  </si>
  <si>
    <t>46.4-57.1</t>
  </si>
  <si>
    <t>163-176</t>
  </si>
  <si>
    <t>379-434</t>
  </si>
  <si>
    <t>154-170</t>
  </si>
  <si>
    <t>35-39</t>
  </si>
  <si>
    <t>163-177</t>
  </si>
  <si>
    <t>6.0-9.0</t>
  </si>
  <si>
    <t>42.2-50.3</t>
  </si>
  <si>
    <t>EN AW-8090 (EN AW-Al Li2.5Cu1.5Mg1)</t>
  </si>
  <si>
    <t>8090 wrought - A98090 - AMS 4259</t>
  </si>
  <si>
    <t>Rapid solidification</t>
  </si>
  <si>
    <t>8009 - A98009</t>
  </si>
  <si>
    <t>8019 - A98019</t>
  </si>
  <si>
    <t>EN AW-8009</t>
  </si>
  <si>
    <t>EN AW-8019</t>
  </si>
  <si>
    <t>EN AW-8091</t>
  </si>
  <si>
    <t>8091 wrought - A98091</t>
  </si>
  <si>
    <t>92.1-95.4</t>
  </si>
  <si>
    <t>1.6-2.2</t>
  </si>
  <si>
    <t>2.4-2.8</t>
  </si>
  <si>
    <t>0.08-0.16</t>
  </si>
  <si>
    <t>2.56e3-2.61e3</t>
  </si>
  <si>
    <t>440-505</t>
  </si>
  <si>
    <t>505-595</t>
  </si>
  <si>
    <t>7-7.5</t>
  </si>
  <si>
    <t>126-144</t>
  </si>
  <si>
    <t>142-156</t>
  </si>
  <si>
    <t>75-79</t>
  </si>
  <si>
    <t>965-975</t>
  </si>
  <si>
    <t>21.3-22.3</t>
  </si>
  <si>
    <t>0.6-1.3</t>
  </si>
  <si>
    <t>0.04-0.16</t>
  </si>
  <si>
    <t>2.52e3-2.57e3</t>
  </si>
  <si>
    <t>80-84</t>
  </si>
  <si>
    <t>435-450</t>
  </si>
  <si>
    <t>480-530</t>
  </si>
  <si>
    <t>111-126</t>
  </si>
  <si>
    <t>141-144</t>
  </si>
  <si>
    <t>81-85</t>
  </si>
  <si>
    <t>980-990</t>
  </si>
  <si>
    <t>87-88.8</t>
  </si>
  <si>
    <t>8.4-8.9</t>
  </si>
  <si>
    <t>1.7-1.9</t>
  </si>
  <si>
    <t>1.1-1.5</t>
  </si>
  <si>
    <t>2.89e3-2.95e3</t>
  </si>
  <si>
    <t>88-92</t>
  </si>
  <si>
    <t>380-420</t>
  </si>
  <si>
    <t>480-510</t>
  </si>
  <si>
    <t>128-137</t>
  </si>
  <si>
    <t>16-20</t>
  </si>
  <si>
    <t>607-632</t>
  </si>
  <si>
    <t>110-125</t>
  </si>
  <si>
    <t>22.4-23.6</t>
  </si>
  <si>
    <t>85.7-89.2</t>
  </si>
  <si>
    <t>Ce</t>
  </si>
  <si>
    <t>7.3-9.3</t>
  </si>
  <si>
    <t>2.9e3-2.96e3</t>
  </si>
  <si>
    <t>612-637</t>
  </si>
  <si>
    <t>Critical Index</t>
  </si>
  <si>
    <t>0.1+0.25</t>
  </si>
  <si>
    <t>SY (MPa)</t>
  </si>
  <si>
    <t>Shape Factor (resistence)</t>
  </si>
  <si>
    <t>Aluminum</t>
  </si>
  <si>
    <t>fsy</t>
  </si>
  <si>
    <t>CIA</t>
  </si>
  <si>
    <t>ro CI</t>
  </si>
  <si>
    <t>X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</si>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</sst>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2"/>
      <color theme="1"/>
      <name val="Calibri"/>
      <family val="2"/>
      <scheme val="minor"/>
    </font>
    <font>
      <sz val="12"/>
      <color theme="1"/>
      <name val="Titillium"/>
    </font>
    <font>
      <sz val="20"/>
      <color theme="1"/>
      <name val="Titillium"/>
    </font>
    <font>
      <sz val="20"/>
      <color theme="0"/>
      <name val="Titillium"/>
    </font>
    <font>
      <sz val="20"/>
      <color theme="1"/>
      <name val="Titillium"/>
      <family val="3"/>
    </font>
    <font>
      <b/>
      <sz val="20"/>
      <color theme="1"/>
      <name val="Titillium"/>
      <family val="3"/>
    </font>
    <font>
      <sz val="20"/>
      <color theme="0"/>
      <name val="Titillium"/>
      <family val="3"/>
    </font>
    <font>
      <sz val="12"/>
      <color theme="1"/>
      <name val="Titillium"/>
      <family val="3"/>
    </font>
    <font>
      <sz val="20"/>
      <color theme="0"/>
      <name val="Calibri"/>
      <family val="2"/>
    </font>
    <font>
      <u/>
      <sz val="12"/>
      <color theme="10"/>
      <name val="Calibri"/>
      <family val="2"/>
      <scheme val="minor"/>
    </font>
    <font>
      <sz val="12"/>
      <color rgb="FF000000"/>
      <name val="Titillium"/>
      <family val="3"/>
    </font>
    <font>
      <sz val="12"/>
      <color rgb="FFFF0000"/>
      <name val="Titillium"/>
    </font>
    <font>
      <sz val="12"/>
      <color rgb="FFFF0000"/>
      <name val="Titillium"/>
      <family val="3"/>
    </font>
    <font>
      <sz val="12"/>
      <color rgb="FFFF0000"/>
      <name val="Calibri"/>
      <family val="2"/>
      <scheme val="minor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rgb="FF000000"/>
      <name val="Calibri"/>
      <family val="2"/>
      <scheme val="minor"/>
    </font>
    <font>
      <sz val="20"/>
      <color rgb="FF000000"/>
      <name val="Calibri"/>
      <family val="2"/>
      <scheme val="minor"/>
    </font>
    <font>
      <sz val="18"/>
      <color rgb="FF000000"/>
      <name val="Calibri"/>
      <family val="2"/>
      <scheme val="minor"/>
    </font>
    <font>
      <sz val="26"/>
      <color theme="1"/>
      <name val="Calibri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004394"/>
        <bgColor indexed="64"/>
      </patternFill>
    </fill>
    <fill>
      <patternFill patternType="solid">
        <fgColor rgb="FF6CB845"/>
        <bgColor indexed="64"/>
      </patternFill>
    </fill>
    <fill>
      <patternFill patternType="solid">
        <fgColor rgb="FF3669AA"/>
        <bgColor indexed="64"/>
      </patternFill>
    </fill>
    <fill>
      <patternFill patternType="solid">
        <fgColor rgb="FF58595B"/>
        <bgColor indexed="64"/>
      </patternFill>
    </fill>
    <fill>
      <patternFill patternType="solid">
        <fgColor rgb="FF89C76C"/>
        <bgColor indexed="64"/>
      </patternFill>
    </fill>
    <fill>
      <patternFill patternType="solid">
        <fgColor rgb="FF698FC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2EFDA"/>
        <bgColor rgb="FF000000"/>
      </patternFill>
    </fill>
    <fill>
      <patternFill patternType="solid">
        <fgColor rgb="FFFCE4D6"/>
        <bgColor rgb="FF000000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</cellStyleXfs>
  <cellXfs count="63">
    <xf numFmtId="0" fontId="0" fillId="0" borderId="0" xfId="0"/>
    <xf numFmtId="2" fontId="7" fillId="0" borderId="0" xfId="0" applyNumberFormat="1" applyFont="1" applyAlignment="1">
      <alignment horizontal="left"/>
    </xf>
    <xf numFmtId="2" fontId="2" fillId="0" borderId="0" xfId="0" applyNumberFormat="1" applyFont="1" applyAlignment="1">
      <alignment horizontal="left"/>
    </xf>
    <xf numFmtId="2" fontId="4" fillId="0" borderId="0" xfId="0" applyNumberFormat="1" applyFont="1" applyAlignment="1">
      <alignment horizontal="left"/>
    </xf>
    <xf numFmtId="2" fontId="5" fillId="0" borderId="0" xfId="0" applyNumberFormat="1" applyFont="1" applyAlignment="1">
      <alignment horizontal="left"/>
    </xf>
    <xf numFmtId="2" fontId="6" fillId="3" borderId="0" xfId="0" applyNumberFormat="1" applyFont="1" applyFill="1" applyAlignment="1">
      <alignment horizontal="left"/>
    </xf>
    <xf numFmtId="2" fontId="6" fillId="4" borderId="0" xfId="0" applyNumberFormat="1" applyFont="1" applyFill="1" applyAlignment="1">
      <alignment horizontal="left"/>
    </xf>
    <xf numFmtId="2" fontId="6" fillId="8" borderId="0" xfId="0" applyNumberFormat="1" applyFont="1" applyFill="1" applyAlignment="1">
      <alignment horizontal="left"/>
    </xf>
    <xf numFmtId="2" fontId="6" fillId="5" borderId="0" xfId="0" applyNumberFormat="1" applyFont="1" applyFill="1" applyAlignment="1">
      <alignment horizontal="left"/>
    </xf>
    <xf numFmtId="2" fontId="6" fillId="6" borderId="0" xfId="0" applyNumberFormat="1" applyFont="1" applyFill="1" applyAlignment="1">
      <alignment horizontal="left"/>
    </xf>
    <xf numFmtId="2" fontId="6" fillId="7" borderId="0" xfId="0" applyNumberFormat="1" applyFont="1" applyFill="1" applyAlignment="1">
      <alignment horizontal="left"/>
    </xf>
    <xf numFmtId="2" fontId="3" fillId="0" borderId="0" xfId="0" applyNumberFormat="1" applyFont="1" applyFill="1" applyAlignment="1">
      <alignment horizontal="left"/>
    </xf>
    <xf numFmtId="2" fontId="6" fillId="2" borderId="0" xfId="0" applyNumberFormat="1" applyFont="1" applyFill="1" applyAlignment="1">
      <alignment horizontal="center"/>
    </xf>
    <xf numFmtId="2" fontId="1" fillId="0" borderId="0" xfId="0" applyNumberFormat="1" applyFont="1" applyAlignment="1">
      <alignment horizontal="left"/>
    </xf>
    <xf numFmtId="2" fontId="0" fillId="0" borderId="0" xfId="0" applyNumberFormat="1" applyAlignment="1">
      <alignment horizontal="left"/>
    </xf>
    <xf numFmtId="2" fontId="7" fillId="0" borderId="0" xfId="0" applyNumberFormat="1" applyFont="1" applyAlignment="1">
      <alignment horizontal="left" vertical="center"/>
    </xf>
    <xf numFmtId="2" fontId="10" fillId="0" borderId="0" xfId="0" applyNumberFormat="1" applyFont="1" applyAlignment="1">
      <alignment vertical="center"/>
    </xf>
    <xf numFmtId="2" fontId="9" fillId="0" borderId="0" xfId="1" applyNumberFormat="1"/>
    <xf numFmtId="2" fontId="6" fillId="4" borderId="0" xfId="0" applyNumberFormat="1" applyFont="1" applyFill="1" applyBorder="1" applyAlignment="1">
      <alignment horizontal="left"/>
    </xf>
    <xf numFmtId="2" fontId="6" fillId="2" borderId="0" xfId="0" applyNumberFormat="1" applyFont="1" applyFill="1" applyAlignment="1">
      <alignment horizontal="center"/>
    </xf>
    <xf numFmtId="2" fontId="7" fillId="0" borderId="0" xfId="0" applyNumberFormat="1" applyFont="1" applyBorder="1" applyAlignment="1">
      <alignment horizontal="left"/>
    </xf>
    <xf numFmtId="2" fontId="7" fillId="9" borderId="0" xfId="0" applyNumberFormat="1" applyFont="1" applyFill="1" applyBorder="1" applyAlignment="1">
      <alignment horizontal="left"/>
    </xf>
    <xf numFmtId="2" fontId="7" fillId="0" borderId="0" xfId="0" applyNumberFormat="1" applyFont="1" applyFill="1" applyAlignment="1">
      <alignment horizontal="left"/>
    </xf>
    <xf numFmtId="2" fontId="7" fillId="0" borderId="0" xfId="0" applyNumberFormat="1" applyFont="1" applyFill="1" applyBorder="1" applyAlignment="1">
      <alignment horizontal="left"/>
    </xf>
    <xf numFmtId="2" fontId="0" fillId="0" borderId="0" xfId="0" applyNumberFormat="1" applyFill="1" applyAlignment="1">
      <alignment horizontal="left"/>
    </xf>
    <xf numFmtId="2" fontId="0" fillId="0" borderId="0" xfId="0" applyNumberFormat="1" applyFill="1" applyBorder="1" applyAlignment="1">
      <alignment horizontal="left"/>
    </xf>
    <xf numFmtId="2" fontId="11" fillId="0" borderId="0" xfId="0" applyNumberFormat="1" applyFont="1" applyAlignment="1">
      <alignment horizontal="left"/>
    </xf>
    <xf numFmtId="2" fontId="12" fillId="0" borderId="0" xfId="0" applyNumberFormat="1" applyFont="1" applyAlignment="1">
      <alignment horizontal="left"/>
    </xf>
    <xf numFmtId="2" fontId="13" fillId="0" borderId="0" xfId="0" applyNumberFormat="1" applyFont="1" applyAlignment="1">
      <alignment horizontal="left"/>
    </xf>
    <xf numFmtId="2" fontId="12" fillId="0" borderId="0" xfId="0" applyNumberFormat="1" applyFont="1" applyAlignment="1">
      <alignment vertical="center"/>
    </xf>
    <xf numFmtId="2" fontId="4" fillId="0" borderId="0" xfId="0" applyNumberFormat="1" applyFont="1" applyBorder="1" applyAlignment="1">
      <alignment horizontal="left"/>
    </xf>
    <xf numFmtId="2" fontId="0" fillId="0" borderId="0" xfId="0" applyNumberFormat="1"/>
    <xf numFmtId="0" fontId="14" fillId="11" borderId="0" xfId="0" applyFont="1" applyFill="1"/>
    <xf numFmtId="2" fontId="7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14" fillId="10" borderId="0" xfId="0" applyFont="1" applyFill="1" applyAlignment="1">
      <alignment horizontal="right"/>
    </xf>
    <xf numFmtId="2" fontId="7" fillId="0" borderId="0" xfId="0" applyNumberFormat="1" applyFont="1" applyFill="1" applyAlignment="1">
      <alignment horizontal="right"/>
    </xf>
    <xf numFmtId="0" fontId="7" fillId="0" borderId="0" xfId="0" applyNumberFormat="1" applyFont="1" applyFill="1" applyAlignment="1">
      <alignment horizontal="right"/>
    </xf>
    <xf numFmtId="0" fontId="15" fillId="0" borderId="0" xfId="0" applyFont="1"/>
    <xf numFmtId="0" fontId="17" fillId="0" borderId="0" xfId="0" applyFont="1"/>
    <xf numFmtId="0" fontId="17" fillId="0" borderId="0" xfId="0" applyFont="1" applyAlignment="1">
      <alignment horizontal="right"/>
    </xf>
    <xf numFmtId="0" fontId="18" fillId="0" borderId="0" xfId="0" applyFont="1"/>
    <xf numFmtId="0" fontId="19" fillId="12" borderId="0" xfId="0" applyFont="1" applyFill="1" applyAlignment="1">
      <alignment horizontal="right"/>
    </xf>
    <xf numFmtId="0" fontId="19" fillId="13" borderId="0" xfId="0" applyFont="1" applyFill="1"/>
    <xf numFmtId="2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right"/>
    </xf>
    <xf numFmtId="0" fontId="20" fillId="0" borderId="0" xfId="0" applyFont="1"/>
    <xf numFmtId="0" fontId="0" fillId="14" borderId="0" xfId="0" applyFill="1"/>
    <xf numFmtId="2" fontId="1" fillId="14" borderId="0" xfId="0" applyNumberFormat="1" applyFont="1" applyFill="1" applyAlignment="1">
      <alignment horizontal="left"/>
    </xf>
    <xf numFmtId="2" fontId="10" fillId="14" borderId="0" xfId="0" applyNumberFormat="1" applyFont="1" applyFill="1" applyAlignment="1">
      <alignment vertical="center"/>
    </xf>
    <xf numFmtId="2" fontId="7" fillId="14" borderId="0" xfId="0" applyNumberFormat="1" applyFont="1" applyFill="1" applyAlignment="1">
      <alignment horizontal="left"/>
    </xf>
    <xf numFmtId="2" fontId="7" fillId="14" borderId="0" xfId="0" applyNumberFormat="1" applyFont="1" applyFill="1" applyBorder="1" applyAlignment="1">
      <alignment horizontal="left"/>
    </xf>
    <xf numFmtId="2" fontId="0" fillId="14" borderId="0" xfId="0" applyNumberFormat="1" applyFill="1" applyAlignment="1">
      <alignment horizontal="left"/>
    </xf>
    <xf numFmtId="0" fontId="17" fillId="14" borderId="0" xfId="0" applyFont="1" applyFill="1"/>
    <xf numFmtId="2" fontId="10" fillId="14" borderId="0" xfId="0" applyNumberFormat="1" applyFont="1" applyFill="1" applyAlignment="1">
      <alignment horizontal="right"/>
    </xf>
    <xf numFmtId="2" fontId="1" fillId="0" borderId="0" xfId="0" applyNumberFormat="1" applyFont="1" applyFill="1" applyAlignment="1">
      <alignment horizontal="left"/>
    </xf>
    <xf numFmtId="2" fontId="10" fillId="0" borderId="0" xfId="0" applyNumberFormat="1" applyFont="1" applyFill="1" applyAlignment="1">
      <alignment vertical="center"/>
    </xf>
    <xf numFmtId="2" fontId="0" fillId="14" borderId="0" xfId="0" applyNumberFormat="1" applyFill="1"/>
    <xf numFmtId="2" fontId="7" fillId="14" borderId="0" xfId="0" applyNumberFormat="1" applyFont="1" applyFill="1" applyAlignment="1">
      <alignment horizontal="right"/>
    </xf>
    <xf numFmtId="0" fontId="17" fillId="11" borderId="0" xfId="0" applyFont="1" applyFill="1"/>
    <xf numFmtId="2" fontId="10" fillId="11" borderId="0" xfId="0" applyNumberFormat="1" applyFont="1" applyFill="1" applyAlignment="1">
      <alignment horizontal="right"/>
    </xf>
    <xf numFmtId="0" fontId="0" fillId="11" borderId="0" xfId="0" applyFill="1"/>
    <xf numFmtId="2" fontId="6" fillId="2" borderId="0" xfId="0" applyNumberFormat="1" applyFont="1" applyFill="1" applyAlignment="1">
      <alignment horizontal="center" vertical="center"/>
    </xf>
  </cellXfs>
  <cellStyles count="6">
    <cellStyle name="Collegamento ipertestuale" xfId="1" builtinId="8"/>
    <cellStyle name="Collegamento ipertestuale visitato" xfId="2" builtinId="9" hidden="1"/>
    <cellStyle name="Collegamento ipertestuale visitato" xfId="3" builtinId="9" hidden="1"/>
    <cellStyle name="Collegamento ipertestuale visitato" xfId="4" builtinId="9" hidden="1"/>
    <cellStyle name="Collegamento ipertestuale visitato" xfId="5" builtinId="9" hidden="1"/>
    <cellStyle name="Normale" xfId="0" builtinId="0"/>
  </cellStyles>
  <dxfs count="0"/>
  <tableStyles count="0" defaultTableStyle="TableStyleMedium9" defaultPivotStyle="PivotStyleMedium7"/>
  <colors>
    <mruColors>
      <color rgb="FF58595B"/>
      <color rgb="FF698FC0"/>
      <color rgb="FF6CB845"/>
      <color rgb="FF004394"/>
      <color rgb="FF3669AA"/>
      <color rgb="FF89C76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chartsheet" Target="chartsheets/sheet1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3.xml"/><Relationship Id="rId10" Type="http://schemas.openxmlformats.org/officeDocument/2006/relationships/styles" Target="styles.xml"/><Relationship Id="rId4" Type="http://schemas.openxmlformats.org/officeDocument/2006/relationships/chartsheet" Target="chartsheets/sheet2.xml"/><Relationship Id="rId9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717466142545"/>
          <c:y val="2.9354837218448698E-2"/>
          <c:w val="0.83506155733113197"/>
          <c:h val="0.78470120473958804"/>
        </c:manualLayout>
      </c:layout>
      <c:scatterChart>
        <c:scatterStyle val="lineMarker"/>
        <c:varyColors val="0"/>
        <c:ser>
          <c:idx val="1"/>
          <c:order val="1"/>
          <c:tx>
            <c:v>Alluminum alloys</c:v>
          </c:tx>
          <c:spPr>
            <a:ln w="31750">
              <a:noFill/>
            </a:ln>
          </c:spPr>
          <c:xVal>
            <c:numRef>
              <c:f>Foglio3!$G$7:$G$263</c:f>
              <c:numCache>
                <c:formatCode>General</c:formatCode>
                <c:ptCount val="257"/>
                <c:pt idx="0">
                  <c:v>196.75542250000001</c:v>
                </c:pt>
                <c:pt idx="1">
                  <c:v>30.462006249999998</c:v>
                </c:pt>
                <c:pt idx="2">
                  <c:v>41.871196249999997</c:v>
                </c:pt>
                <c:pt idx="3">
                  <c:v>471.07209499999993</c:v>
                </c:pt>
                <c:pt idx="4">
                  <c:v>471.07209499999993</c:v>
                </c:pt>
                <c:pt idx="5">
                  <c:v>471.07209499999993</c:v>
                </c:pt>
                <c:pt idx="6">
                  <c:v>843.31264999999985</c:v>
                </c:pt>
                <c:pt idx="7">
                  <c:v>722.90213499999993</c:v>
                </c:pt>
                <c:pt idx="8">
                  <c:v>1014.9212999999999</c:v>
                </c:pt>
                <c:pt idx="9">
                  <c:v>1014.9212999999999</c:v>
                </c:pt>
                <c:pt idx="10">
                  <c:v>755.09719999999993</c:v>
                </c:pt>
                <c:pt idx="11">
                  <c:v>439.22663750000004</c:v>
                </c:pt>
                <c:pt idx="12">
                  <c:v>439.22663750000004</c:v>
                </c:pt>
                <c:pt idx="13">
                  <c:v>557.1818025</c:v>
                </c:pt>
                <c:pt idx="14">
                  <c:v>557.1818025</c:v>
                </c:pt>
                <c:pt idx="15">
                  <c:v>557.1818025</c:v>
                </c:pt>
                <c:pt idx="16">
                  <c:v>557.1818025</c:v>
                </c:pt>
                <c:pt idx="17">
                  <c:v>585.57255750000002</c:v>
                </c:pt>
                <c:pt idx="18">
                  <c:v>736.33976999999993</c:v>
                </c:pt>
                <c:pt idx="19">
                  <c:v>762.63397499999996</c:v>
                </c:pt>
                <c:pt idx="20">
                  <c:v>651.88983999999994</c:v>
                </c:pt>
                <c:pt idx="21">
                  <c:v>803.95983999999999</c:v>
                </c:pt>
                <c:pt idx="22">
                  <c:v>1003.7066999999998</c:v>
                </c:pt>
                <c:pt idx="23">
                  <c:v>1003.7066999999998</c:v>
                </c:pt>
                <c:pt idx="24">
                  <c:v>559.92184499999996</c:v>
                </c:pt>
                <c:pt idx="25">
                  <c:v>559.92184499999996</c:v>
                </c:pt>
                <c:pt idx="26">
                  <c:v>559.92184499999996</c:v>
                </c:pt>
                <c:pt idx="27">
                  <c:v>559.92184499999996</c:v>
                </c:pt>
                <c:pt idx="28">
                  <c:v>585.566868</c:v>
                </c:pt>
                <c:pt idx="29">
                  <c:v>585.566868</c:v>
                </c:pt>
                <c:pt idx="30">
                  <c:v>762.63397499999996</c:v>
                </c:pt>
                <c:pt idx="31">
                  <c:v>432.11940000000004</c:v>
                </c:pt>
                <c:pt idx="32">
                  <c:v>432.11940000000004</c:v>
                </c:pt>
                <c:pt idx="33">
                  <c:v>432.11940000000004</c:v>
                </c:pt>
                <c:pt idx="34">
                  <c:v>766.23326999999995</c:v>
                </c:pt>
                <c:pt idx="35">
                  <c:v>921.53699999999981</c:v>
                </c:pt>
                <c:pt idx="36">
                  <c:v>889.5338549999999</c:v>
                </c:pt>
                <c:pt idx="37">
                  <c:v>401.74111124999996</c:v>
                </c:pt>
                <c:pt idx="38">
                  <c:v>892.43999999999994</c:v>
                </c:pt>
                <c:pt idx="39">
                  <c:v>446.40174374999998</c:v>
                </c:pt>
                <c:pt idx="40">
                  <c:v>833.51186874999996</c:v>
                </c:pt>
                <c:pt idx="41">
                  <c:v>1065.3026062500001</c:v>
                </c:pt>
                <c:pt idx="42">
                  <c:v>62.894879999999993</c:v>
                </c:pt>
                <c:pt idx="43">
                  <c:v>62.894879999999993</c:v>
                </c:pt>
                <c:pt idx="44">
                  <c:v>62.894879999999993</c:v>
                </c:pt>
                <c:pt idx="45">
                  <c:v>11.468599999999999</c:v>
                </c:pt>
                <c:pt idx="46">
                  <c:v>11.468599999999999</c:v>
                </c:pt>
                <c:pt idx="47">
                  <c:v>7.0807499999999992</c:v>
                </c:pt>
                <c:pt idx="48">
                  <c:v>8.4281849999999991</c:v>
                </c:pt>
                <c:pt idx="50">
                  <c:v>95.34348</c:v>
                </c:pt>
                <c:pt idx="51">
                  <c:v>95.34348</c:v>
                </c:pt>
                <c:pt idx="52">
                  <c:v>51.386919999999996</c:v>
                </c:pt>
                <c:pt idx="53">
                  <c:v>51.386919999999996</c:v>
                </c:pt>
                <c:pt idx="54">
                  <c:v>51.386919999999996</c:v>
                </c:pt>
                <c:pt idx="55">
                  <c:v>126.45919999999998</c:v>
                </c:pt>
                <c:pt idx="56">
                  <c:v>126.45919999999998</c:v>
                </c:pt>
                <c:pt idx="57">
                  <c:v>126.23337999999998</c:v>
                </c:pt>
                <c:pt idx="58">
                  <c:v>126.23337999999998</c:v>
                </c:pt>
                <c:pt idx="59">
                  <c:v>126.23337999999998</c:v>
                </c:pt>
                <c:pt idx="60">
                  <c:v>126.23337999999998</c:v>
                </c:pt>
                <c:pt idx="61">
                  <c:v>126.23337999999998</c:v>
                </c:pt>
                <c:pt idx="62">
                  <c:v>110.49613250000002</c:v>
                </c:pt>
                <c:pt idx="63">
                  <c:v>110.49613250000002</c:v>
                </c:pt>
                <c:pt idx="64">
                  <c:v>110.49613250000002</c:v>
                </c:pt>
                <c:pt idx="65">
                  <c:v>192.05517999999998</c:v>
                </c:pt>
                <c:pt idx="66">
                  <c:v>191.70850999999999</c:v>
                </c:pt>
                <c:pt idx="67">
                  <c:v>192.05517999999998</c:v>
                </c:pt>
                <c:pt idx="68">
                  <c:v>192.05517999999998</c:v>
                </c:pt>
                <c:pt idx="69">
                  <c:v>191.70850999999999</c:v>
                </c:pt>
                <c:pt idx="70">
                  <c:v>191.70850999999999</c:v>
                </c:pt>
                <c:pt idx="71">
                  <c:v>192.05517999999998</c:v>
                </c:pt>
                <c:pt idx="72">
                  <c:v>191.70850999999999</c:v>
                </c:pt>
                <c:pt idx="73">
                  <c:v>191.70850999999999</c:v>
                </c:pt>
                <c:pt idx="74">
                  <c:v>191.70850999999999</c:v>
                </c:pt>
                <c:pt idx="75">
                  <c:v>191.70850999999999</c:v>
                </c:pt>
                <c:pt idx="76">
                  <c:v>191.70850999999999</c:v>
                </c:pt>
                <c:pt idx="77">
                  <c:v>191.70850999999999</c:v>
                </c:pt>
                <c:pt idx="78">
                  <c:v>72.039727499999998</c:v>
                </c:pt>
                <c:pt idx="79">
                  <c:v>148.91450750000001</c:v>
                </c:pt>
                <c:pt idx="80">
                  <c:v>72.800749999999994</c:v>
                </c:pt>
                <c:pt idx="81">
                  <c:v>72.800749999999994</c:v>
                </c:pt>
                <c:pt idx="82">
                  <c:v>18.390449999999998</c:v>
                </c:pt>
                <c:pt idx="83">
                  <c:v>180.19919749999997</c:v>
                </c:pt>
                <c:pt idx="84">
                  <c:v>15.269111000000002</c:v>
                </c:pt>
                <c:pt idx="85">
                  <c:v>15.269111000000002</c:v>
                </c:pt>
                <c:pt idx="86">
                  <c:v>15.269111000000002</c:v>
                </c:pt>
                <c:pt idx="87">
                  <c:v>15.269111000000002</c:v>
                </c:pt>
                <c:pt idx="88">
                  <c:v>15.269111000000002</c:v>
                </c:pt>
                <c:pt idx="89">
                  <c:v>15.269111000000002</c:v>
                </c:pt>
                <c:pt idx="90">
                  <c:v>177.45035499999997</c:v>
                </c:pt>
                <c:pt idx="91">
                  <c:v>17.198499999999999</c:v>
                </c:pt>
                <c:pt idx="92">
                  <c:v>163.31404499999999</c:v>
                </c:pt>
                <c:pt idx="93">
                  <c:v>41.86155625</c:v>
                </c:pt>
                <c:pt idx="94">
                  <c:v>161.92876874999999</c:v>
                </c:pt>
                <c:pt idx="95">
                  <c:v>187.34993750000001</c:v>
                </c:pt>
                <c:pt idx="96">
                  <c:v>187.34993750000001</c:v>
                </c:pt>
                <c:pt idx="97">
                  <c:v>187.34993750000001</c:v>
                </c:pt>
                <c:pt idx="98">
                  <c:v>127.43368500000001</c:v>
                </c:pt>
                <c:pt idx="99">
                  <c:v>127.90392000000001</c:v>
                </c:pt>
                <c:pt idx="100">
                  <c:v>127.43368500000001</c:v>
                </c:pt>
                <c:pt idx="101">
                  <c:v>127.90392000000001</c:v>
                </c:pt>
                <c:pt idx="102">
                  <c:v>127.90392000000001</c:v>
                </c:pt>
                <c:pt idx="103">
                  <c:v>127.43368500000001</c:v>
                </c:pt>
                <c:pt idx="104">
                  <c:v>127.43368500000001</c:v>
                </c:pt>
                <c:pt idx="105">
                  <c:v>38.839709999999997</c:v>
                </c:pt>
                <c:pt idx="106">
                  <c:v>38.839709999999997</c:v>
                </c:pt>
                <c:pt idx="107">
                  <c:v>38.839709999999997</c:v>
                </c:pt>
                <c:pt idx="108">
                  <c:v>83.883600000000001</c:v>
                </c:pt>
                <c:pt idx="109">
                  <c:v>83.883600000000001</c:v>
                </c:pt>
                <c:pt idx="110">
                  <c:v>83.883600000000001</c:v>
                </c:pt>
                <c:pt idx="111">
                  <c:v>58.257329999999996</c:v>
                </c:pt>
                <c:pt idx="112">
                  <c:v>58.257329999999996</c:v>
                </c:pt>
                <c:pt idx="113">
                  <c:v>58.257329999999996</c:v>
                </c:pt>
                <c:pt idx="114">
                  <c:v>298.42135000000002</c:v>
                </c:pt>
                <c:pt idx="115">
                  <c:v>298.42135000000002</c:v>
                </c:pt>
                <c:pt idx="116">
                  <c:v>298.42135000000002</c:v>
                </c:pt>
                <c:pt idx="117">
                  <c:v>298.97810625000005</c:v>
                </c:pt>
                <c:pt idx="118">
                  <c:v>298.42135000000002</c:v>
                </c:pt>
                <c:pt idx="119">
                  <c:v>298.42135000000002</c:v>
                </c:pt>
                <c:pt idx="120">
                  <c:v>298.42135000000002</c:v>
                </c:pt>
                <c:pt idx="121">
                  <c:v>506.30451749999997</c:v>
                </c:pt>
                <c:pt idx="122">
                  <c:v>506.30451749999997</c:v>
                </c:pt>
                <c:pt idx="123">
                  <c:v>506.30451749999997</c:v>
                </c:pt>
                <c:pt idx="124">
                  <c:v>506.30451749999997</c:v>
                </c:pt>
                <c:pt idx="125">
                  <c:v>506.30451749999997</c:v>
                </c:pt>
                <c:pt idx="126">
                  <c:v>506.30451749999997</c:v>
                </c:pt>
                <c:pt idx="127">
                  <c:v>457.5348224999999</c:v>
                </c:pt>
                <c:pt idx="128">
                  <c:v>457.5348224999999</c:v>
                </c:pt>
                <c:pt idx="129">
                  <c:v>457.5348224999999</c:v>
                </c:pt>
                <c:pt idx="130">
                  <c:v>457.5348224999999</c:v>
                </c:pt>
                <c:pt idx="131">
                  <c:v>457.5348224999999</c:v>
                </c:pt>
                <c:pt idx="132">
                  <c:v>457.5348224999999</c:v>
                </c:pt>
                <c:pt idx="133">
                  <c:v>457.5348224999999</c:v>
                </c:pt>
                <c:pt idx="134">
                  <c:v>406.29723749999994</c:v>
                </c:pt>
                <c:pt idx="135">
                  <c:v>406.29723749999994</c:v>
                </c:pt>
                <c:pt idx="136">
                  <c:v>406.29723749999994</c:v>
                </c:pt>
                <c:pt idx="137">
                  <c:v>498.16163249999994</c:v>
                </c:pt>
                <c:pt idx="138">
                  <c:v>498.16163249999994</c:v>
                </c:pt>
                <c:pt idx="139">
                  <c:v>498.16163249999994</c:v>
                </c:pt>
                <c:pt idx="140">
                  <c:v>498.16163249999994</c:v>
                </c:pt>
                <c:pt idx="141">
                  <c:v>498.16163249999994</c:v>
                </c:pt>
                <c:pt idx="142">
                  <c:v>498.16163249999994</c:v>
                </c:pt>
                <c:pt idx="143">
                  <c:v>244.73821749999993</c:v>
                </c:pt>
                <c:pt idx="144">
                  <c:v>244.73821749999993</c:v>
                </c:pt>
                <c:pt idx="145">
                  <c:v>244.73821749999993</c:v>
                </c:pt>
                <c:pt idx="146">
                  <c:v>313.06831499999998</c:v>
                </c:pt>
                <c:pt idx="147">
                  <c:v>313.06831499999998</c:v>
                </c:pt>
                <c:pt idx="148">
                  <c:v>313.06831499999998</c:v>
                </c:pt>
                <c:pt idx="149">
                  <c:v>313.06831499999998</c:v>
                </c:pt>
                <c:pt idx="150">
                  <c:v>313.06831499999998</c:v>
                </c:pt>
                <c:pt idx="151">
                  <c:v>313.06831499999998</c:v>
                </c:pt>
                <c:pt idx="152">
                  <c:v>313.06831499999998</c:v>
                </c:pt>
                <c:pt idx="153">
                  <c:v>569.67538499999989</c:v>
                </c:pt>
                <c:pt idx="154">
                  <c:v>569.67538499999989</c:v>
                </c:pt>
                <c:pt idx="155">
                  <c:v>569.67538499999989</c:v>
                </c:pt>
                <c:pt idx="156">
                  <c:v>569.67538499999989</c:v>
                </c:pt>
                <c:pt idx="157">
                  <c:v>363.38521999999995</c:v>
                </c:pt>
                <c:pt idx="158">
                  <c:v>363.38521999999995</c:v>
                </c:pt>
                <c:pt idx="159">
                  <c:v>363.38521999999995</c:v>
                </c:pt>
                <c:pt idx="160">
                  <c:v>363.38521999999995</c:v>
                </c:pt>
                <c:pt idx="161">
                  <c:v>363.38521999999995</c:v>
                </c:pt>
                <c:pt idx="162">
                  <c:v>363.38521999999995</c:v>
                </c:pt>
                <c:pt idx="163">
                  <c:v>114.66224499999998</c:v>
                </c:pt>
                <c:pt idx="164">
                  <c:v>114.66224499999998</c:v>
                </c:pt>
                <c:pt idx="165">
                  <c:v>122.96760499999999</c:v>
                </c:pt>
                <c:pt idx="166">
                  <c:v>122.96760499999999</c:v>
                </c:pt>
                <c:pt idx="167">
                  <c:v>122.96760499999999</c:v>
                </c:pt>
                <c:pt idx="168">
                  <c:v>122.96760499999999</c:v>
                </c:pt>
                <c:pt idx="169">
                  <c:v>129.69653500000001</c:v>
                </c:pt>
                <c:pt idx="170">
                  <c:v>129.69653500000001</c:v>
                </c:pt>
                <c:pt idx="171">
                  <c:v>129.69653500000001</c:v>
                </c:pt>
                <c:pt idx="172">
                  <c:v>129.69653500000001</c:v>
                </c:pt>
                <c:pt idx="173">
                  <c:v>167.16933750000001</c:v>
                </c:pt>
                <c:pt idx="174">
                  <c:v>167.16933750000001</c:v>
                </c:pt>
                <c:pt idx="175">
                  <c:v>167.16933750000001</c:v>
                </c:pt>
                <c:pt idx="176">
                  <c:v>173.94541499999997</c:v>
                </c:pt>
                <c:pt idx="177">
                  <c:v>143.64675</c:v>
                </c:pt>
                <c:pt idx="178">
                  <c:v>143.64675</c:v>
                </c:pt>
                <c:pt idx="179">
                  <c:v>143.64675</c:v>
                </c:pt>
                <c:pt idx="180">
                  <c:v>143.64675</c:v>
                </c:pt>
                <c:pt idx="181">
                  <c:v>152.12084499999997</c:v>
                </c:pt>
                <c:pt idx="182">
                  <c:v>152.12084499999997</c:v>
                </c:pt>
                <c:pt idx="183">
                  <c:v>152.12084499999997</c:v>
                </c:pt>
                <c:pt idx="184">
                  <c:v>152.12084499999997</c:v>
                </c:pt>
                <c:pt idx="185">
                  <c:v>87.642674999999983</c:v>
                </c:pt>
                <c:pt idx="186">
                  <c:v>87.642674999999983</c:v>
                </c:pt>
                <c:pt idx="187">
                  <c:v>168.0724385</c:v>
                </c:pt>
                <c:pt idx="188">
                  <c:v>168.0724385</c:v>
                </c:pt>
                <c:pt idx="189">
                  <c:v>168.0724385</c:v>
                </c:pt>
                <c:pt idx="190">
                  <c:v>168.0724385</c:v>
                </c:pt>
                <c:pt idx="191">
                  <c:v>168.0724385</c:v>
                </c:pt>
                <c:pt idx="192">
                  <c:v>168.0724385</c:v>
                </c:pt>
                <c:pt idx="193">
                  <c:v>168.0724385</c:v>
                </c:pt>
                <c:pt idx="194">
                  <c:v>107.31490000000001</c:v>
                </c:pt>
                <c:pt idx="195">
                  <c:v>106.91670000000001</c:v>
                </c:pt>
                <c:pt idx="196">
                  <c:v>107.31490000000001</c:v>
                </c:pt>
                <c:pt idx="197">
                  <c:v>106.91670000000001</c:v>
                </c:pt>
                <c:pt idx="198">
                  <c:v>106.91670000000001</c:v>
                </c:pt>
                <c:pt idx="199">
                  <c:v>107.31490000000001</c:v>
                </c:pt>
                <c:pt idx="200">
                  <c:v>106.91670000000001</c:v>
                </c:pt>
                <c:pt idx="201">
                  <c:v>106.91670000000001</c:v>
                </c:pt>
                <c:pt idx="202">
                  <c:v>106.91670000000001</c:v>
                </c:pt>
                <c:pt idx="203">
                  <c:v>233.88680000000002</c:v>
                </c:pt>
                <c:pt idx="204">
                  <c:v>197.9802</c:v>
                </c:pt>
                <c:pt idx="205">
                  <c:v>181.99147500000001</c:v>
                </c:pt>
                <c:pt idx="206">
                  <c:v>152.62719999999999</c:v>
                </c:pt>
                <c:pt idx="207">
                  <c:v>221.54886849999997</c:v>
                </c:pt>
                <c:pt idx="208">
                  <c:v>221.54886849999997</c:v>
                </c:pt>
                <c:pt idx="209">
                  <c:v>278.52098749999999</c:v>
                </c:pt>
                <c:pt idx="210">
                  <c:v>278.52098749999999</c:v>
                </c:pt>
                <c:pt idx="211">
                  <c:v>164.26881</c:v>
                </c:pt>
                <c:pt idx="212">
                  <c:v>164.26881</c:v>
                </c:pt>
                <c:pt idx="213">
                  <c:v>242.06433299999992</c:v>
                </c:pt>
                <c:pt idx="214">
                  <c:v>306.08612025000002</c:v>
                </c:pt>
                <c:pt idx="215">
                  <c:v>306.08612025000002</c:v>
                </c:pt>
                <c:pt idx="216">
                  <c:v>306.08612025000002</c:v>
                </c:pt>
                <c:pt idx="217">
                  <c:v>265.48389499999996</c:v>
                </c:pt>
                <c:pt idx="218">
                  <c:v>265.48389499999996</c:v>
                </c:pt>
                <c:pt idx="219">
                  <c:v>265.48389499999996</c:v>
                </c:pt>
                <c:pt idx="220">
                  <c:v>265.48389499999996</c:v>
                </c:pt>
                <c:pt idx="221">
                  <c:v>265.48389499999996</c:v>
                </c:pt>
                <c:pt idx="222">
                  <c:v>265.48389499999996</c:v>
                </c:pt>
                <c:pt idx="223">
                  <c:v>265.48389499999996</c:v>
                </c:pt>
                <c:pt idx="224">
                  <c:v>246.34108799999993</c:v>
                </c:pt>
                <c:pt idx="225">
                  <c:v>246.34108799999993</c:v>
                </c:pt>
                <c:pt idx="226">
                  <c:v>315.73969049999999</c:v>
                </c:pt>
                <c:pt idx="227">
                  <c:v>315.73969049999999</c:v>
                </c:pt>
                <c:pt idx="228">
                  <c:v>315.73969049999999</c:v>
                </c:pt>
                <c:pt idx="229">
                  <c:v>315.73969049999999</c:v>
                </c:pt>
                <c:pt idx="230">
                  <c:v>315.73969049999999</c:v>
                </c:pt>
                <c:pt idx="231">
                  <c:v>315.73969049999999</c:v>
                </c:pt>
                <c:pt idx="232">
                  <c:v>315.73969049999999</c:v>
                </c:pt>
                <c:pt idx="233">
                  <c:v>315.73969049999999</c:v>
                </c:pt>
                <c:pt idx="234">
                  <c:v>315.73969049999999</c:v>
                </c:pt>
                <c:pt idx="235">
                  <c:v>315.73969049999999</c:v>
                </c:pt>
                <c:pt idx="236">
                  <c:v>302.12480775</c:v>
                </c:pt>
                <c:pt idx="237">
                  <c:v>302.12480775</c:v>
                </c:pt>
                <c:pt idx="238">
                  <c:v>278.19145125</c:v>
                </c:pt>
                <c:pt idx="239">
                  <c:v>278.19145125</c:v>
                </c:pt>
                <c:pt idx="240">
                  <c:v>278.19145125</c:v>
                </c:pt>
                <c:pt idx="241">
                  <c:v>278.19145125</c:v>
                </c:pt>
                <c:pt idx="242">
                  <c:v>306.04453425000003</c:v>
                </c:pt>
                <c:pt idx="243">
                  <c:v>306.04453425000003</c:v>
                </c:pt>
                <c:pt idx="244">
                  <c:v>306.04453425000003</c:v>
                </c:pt>
                <c:pt idx="245">
                  <c:v>306.04453425000003</c:v>
                </c:pt>
                <c:pt idx="246">
                  <c:v>265.13480000000004</c:v>
                </c:pt>
                <c:pt idx="247">
                  <c:v>265.13480000000004</c:v>
                </c:pt>
                <c:pt idx="248">
                  <c:v>274.60441774999998</c:v>
                </c:pt>
                <c:pt idx="249">
                  <c:v>274.60441774999998</c:v>
                </c:pt>
                <c:pt idx="250">
                  <c:v>274.60441774999998</c:v>
                </c:pt>
                <c:pt idx="251">
                  <c:v>274.60441774999998</c:v>
                </c:pt>
                <c:pt idx="252">
                  <c:v>274.60441774999998</c:v>
                </c:pt>
                <c:pt idx="253">
                  <c:v>108.72367249999999</c:v>
                </c:pt>
                <c:pt idx="254">
                  <c:v>103.46720999999999</c:v>
                </c:pt>
                <c:pt idx="255">
                  <c:v>237.4033</c:v>
                </c:pt>
                <c:pt idx="256">
                  <c:v>519.12275</c:v>
                </c:pt>
              </c:numCache>
            </c:numRef>
          </c:xVal>
          <c:yVal>
            <c:numRef>
              <c:f>Foglio3!$H$7:$H$263</c:f>
              <c:numCache>
                <c:formatCode>General</c:formatCode>
                <c:ptCount val="257"/>
                <c:pt idx="0">
                  <c:v>1056.1000000000001</c:v>
                </c:pt>
                <c:pt idx="1">
                  <c:v>2056.15</c:v>
                </c:pt>
                <c:pt idx="2">
                  <c:v>2035.5000000000002</c:v>
                </c:pt>
                <c:pt idx="3">
                  <c:v>973.50000000000011</c:v>
                </c:pt>
                <c:pt idx="4">
                  <c:v>731.6</c:v>
                </c:pt>
                <c:pt idx="5">
                  <c:v>967.6</c:v>
                </c:pt>
                <c:pt idx="6">
                  <c:v>1144.6000000000001</c:v>
                </c:pt>
                <c:pt idx="7">
                  <c:v>1221.3000000000002</c:v>
                </c:pt>
                <c:pt idx="8">
                  <c:v>1138.7</c:v>
                </c:pt>
                <c:pt idx="9">
                  <c:v>1746.4</c:v>
                </c:pt>
                <c:pt idx="10">
                  <c:v>1516.3000000000002</c:v>
                </c:pt>
                <c:pt idx="11">
                  <c:v>1023.6500000000001</c:v>
                </c:pt>
                <c:pt idx="12">
                  <c:v>1286.2</c:v>
                </c:pt>
                <c:pt idx="13">
                  <c:v>651.95000000000005</c:v>
                </c:pt>
                <c:pt idx="14">
                  <c:v>1020.7</c:v>
                </c:pt>
                <c:pt idx="15">
                  <c:v>731.6</c:v>
                </c:pt>
                <c:pt idx="16">
                  <c:v>938.1</c:v>
                </c:pt>
                <c:pt idx="17">
                  <c:v>1746.4</c:v>
                </c:pt>
                <c:pt idx="18">
                  <c:v>1374.7</c:v>
                </c:pt>
                <c:pt idx="19">
                  <c:v>1014.8000000000001</c:v>
                </c:pt>
                <c:pt idx="20">
                  <c:v>944</c:v>
                </c:pt>
                <c:pt idx="21">
                  <c:v>887.95</c:v>
                </c:pt>
                <c:pt idx="22">
                  <c:v>769.95</c:v>
                </c:pt>
                <c:pt idx="23">
                  <c:v>1652</c:v>
                </c:pt>
                <c:pt idx="24">
                  <c:v>531</c:v>
                </c:pt>
                <c:pt idx="25">
                  <c:v>531</c:v>
                </c:pt>
                <c:pt idx="26">
                  <c:v>487.04500000000002</c:v>
                </c:pt>
                <c:pt idx="27">
                  <c:v>1209.5</c:v>
                </c:pt>
                <c:pt idx="28">
                  <c:v>1424.8500000000001</c:v>
                </c:pt>
                <c:pt idx="29">
                  <c:v>1495.65</c:v>
                </c:pt>
                <c:pt idx="30">
                  <c:v>973.50000000000011</c:v>
                </c:pt>
                <c:pt idx="31">
                  <c:v>1424.8500000000001</c:v>
                </c:pt>
                <c:pt idx="32">
                  <c:v>1180</c:v>
                </c:pt>
                <c:pt idx="33">
                  <c:v>1359.95</c:v>
                </c:pt>
                <c:pt idx="34">
                  <c:v>826</c:v>
                </c:pt>
                <c:pt idx="35">
                  <c:v>826</c:v>
                </c:pt>
                <c:pt idx="36">
                  <c:v>855.5</c:v>
                </c:pt>
                <c:pt idx="37">
                  <c:v>324.79500000000002</c:v>
                </c:pt>
                <c:pt idx="38">
                  <c:v>769.95</c:v>
                </c:pt>
                <c:pt idx="39">
                  <c:v>489.995</c:v>
                </c:pt>
                <c:pt idx="40">
                  <c:v>1097.4000000000001</c:v>
                </c:pt>
                <c:pt idx="41">
                  <c:v>1088.55</c:v>
                </c:pt>
                <c:pt idx="42">
                  <c:v>1091.5</c:v>
                </c:pt>
                <c:pt idx="43">
                  <c:v>1014.8000000000001</c:v>
                </c:pt>
                <c:pt idx="44">
                  <c:v>887.95</c:v>
                </c:pt>
                <c:pt idx="45">
                  <c:v>973.50000000000011</c:v>
                </c:pt>
                <c:pt idx="46">
                  <c:v>206.5</c:v>
                </c:pt>
                <c:pt idx="47">
                  <c:v>297.95000000000005</c:v>
                </c:pt>
                <c:pt idx="48">
                  <c:v>297.95000000000005</c:v>
                </c:pt>
                <c:pt idx="50">
                  <c:v>734.55000000000007</c:v>
                </c:pt>
                <c:pt idx="51">
                  <c:v>1416</c:v>
                </c:pt>
                <c:pt idx="52">
                  <c:v>769.95</c:v>
                </c:pt>
                <c:pt idx="53">
                  <c:v>769.95</c:v>
                </c:pt>
                <c:pt idx="54">
                  <c:v>1180</c:v>
                </c:pt>
                <c:pt idx="55">
                  <c:v>1593</c:v>
                </c:pt>
                <c:pt idx="56">
                  <c:v>2253.8000000000002</c:v>
                </c:pt>
                <c:pt idx="57">
                  <c:v>2301</c:v>
                </c:pt>
                <c:pt idx="58">
                  <c:v>2236.1</c:v>
                </c:pt>
                <c:pt idx="59">
                  <c:v>2236.1</c:v>
                </c:pt>
                <c:pt idx="60">
                  <c:v>2236.1</c:v>
                </c:pt>
                <c:pt idx="61">
                  <c:v>2177.1</c:v>
                </c:pt>
                <c:pt idx="62">
                  <c:v>1371.75</c:v>
                </c:pt>
                <c:pt idx="63">
                  <c:v>1371.75</c:v>
                </c:pt>
                <c:pt idx="64">
                  <c:v>1371.75</c:v>
                </c:pt>
                <c:pt idx="65">
                  <c:v>442.5</c:v>
                </c:pt>
                <c:pt idx="66">
                  <c:v>1829</c:v>
                </c:pt>
                <c:pt idx="67">
                  <c:v>1749.3500000000001</c:v>
                </c:pt>
                <c:pt idx="68">
                  <c:v>1829</c:v>
                </c:pt>
                <c:pt idx="69">
                  <c:v>2230.2000000000003</c:v>
                </c:pt>
                <c:pt idx="70">
                  <c:v>2094.5</c:v>
                </c:pt>
                <c:pt idx="71">
                  <c:v>1705.1000000000001</c:v>
                </c:pt>
                <c:pt idx="72">
                  <c:v>1362.9</c:v>
                </c:pt>
                <c:pt idx="73">
                  <c:v>2141.7000000000003</c:v>
                </c:pt>
                <c:pt idx="74">
                  <c:v>1967.65</c:v>
                </c:pt>
                <c:pt idx="75">
                  <c:v>1911.6000000000001</c:v>
                </c:pt>
                <c:pt idx="76">
                  <c:v>2339.3500000000004</c:v>
                </c:pt>
                <c:pt idx="77">
                  <c:v>2398.3500000000004</c:v>
                </c:pt>
                <c:pt idx="78">
                  <c:v>1371.75</c:v>
                </c:pt>
                <c:pt idx="79">
                  <c:v>2032.5500000000002</c:v>
                </c:pt>
                <c:pt idx="80">
                  <c:v>330.40000000000003</c:v>
                </c:pt>
                <c:pt idx="81">
                  <c:v>1147.5500000000002</c:v>
                </c:pt>
                <c:pt idx="82">
                  <c:v>2563.5500000000002</c:v>
                </c:pt>
                <c:pt idx="83">
                  <c:v>2280.3500000000004</c:v>
                </c:pt>
                <c:pt idx="84">
                  <c:v>1539.9</c:v>
                </c:pt>
                <c:pt idx="85">
                  <c:v>1967.65</c:v>
                </c:pt>
                <c:pt idx="86">
                  <c:v>1831.95</c:v>
                </c:pt>
                <c:pt idx="87">
                  <c:v>1669.7</c:v>
                </c:pt>
                <c:pt idx="88">
                  <c:v>1770</c:v>
                </c:pt>
                <c:pt idx="89">
                  <c:v>2056.15</c:v>
                </c:pt>
                <c:pt idx="90">
                  <c:v>2138.75</c:v>
                </c:pt>
                <c:pt idx="91">
                  <c:v>2295.1000000000004</c:v>
                </c:pt>
                <c:pt idx="92">
                  <c:v>1775.9</c:v>
                </c:pt>
                <c:pt idx="93">
                  <c:v>2360</c:v>
                </c:pt>
                <c:pt idx="94">
                  <c:v>1749.3500000000001</c:v>
                </c:pt>
                <c:pt idx="95">
                  <c:v>1652</c:v>
                </c:pt>
                <c:pt idx="96">
                  <c:v>2065</c:v>
                </c:pt>
                <c:pt idx="97">
                  <c:v>2065</c:v>
                </c:pt>
                <c:pt idx="98">
                  <c:v>345.74</c:v>
                </c:pt>
                <c:pt idx="99">
                  <c:v>1510.4</c:v>
                </c:pt>
                <c:pt idx="100">
                  <c:v>929.25</c:v>
                </c:pt>
                <c:pt idx="101">
                  <c:v>1097.4000000000001</c:v>
                </c:pt>
                <c:pt idx="102">
                  <c:v>1359.95</c:v>
                </c:pt>
                <c:pt idx="103">
                  <c:v>1477.95</c:v>
                </c:pt>
                <c:pt idx="104">
                  <c:v>366.39000000000004</c:v>
                </c:pt>
                <c:pt idx="105">
                  <c:v>826</c:v>
                </c:pt>
                <c:pt idx="106">
                  <c:v>1062</c:v>
                </c:pt>
                <c:pt idx="107">
                  <c:v>265.5</c:v>
                </c:pt>
                <c:pt idx="108">
                  <c:v>887.95</c:v>
                </c:pt>
                <c:pt idx="109">
                  <c:v>1150.5</c:v>
                </c:pt>
                <c:pt idx="110">
                  <c:v>533.95000000000005</c:v>
                </c:pt>
                <c:pt idx="111">
                  <c:v>855.5</c:v>
                </c:pt>
                <c:pt idx="112">
                  <c:v>973.50000000000011</c:v>
                </c:pt>
                <c:pt idx="113">
                  <c:v>265.5</c:v>
                </c:pt>
                <c:pt idx="114">
                  <c:v>625.40000000000009</c:v>
                </c:pt>
                <c:pt idx="115">
                  <c:v>1451.4</c:v>
                </c:pt>
                <c:pt idx="116">
                  <c:v>955.80000000000007</c:v>
                </c:pt>
                <c:pt idx="117">
                  <c:v>1067.9000000000001</c:v>
                </c:pt>
                <c:pt idx="118">
                  <c:v>1241.95</c:v>
                </c:pt>
                <c:pt idx="119">
                  <c:v>1371.75</c:v>
                </c:pt>
                <c:pt idx="120">
                  <c:v>409.75500000000005</c:v>
                </c:pt>
                <c:pt idx="121">
                  <c:v>873.2</c:v>
                </c:pt>
                <c:pt idx="122">
                  <c:v>690.30000000000007</c:v>
                </c:pt>
                <c:pt idx="123">
                  <c:v>1221.3000000000002</c:v>
                </c:pt>
                <c:pt idx="124">
                  <c:v>1454.3500000000001</c:v>
                </c:pt>
                <c:pt idx="125">
                  <c:v>1669.7</c:v>
                </c:pt>
                <c:pt idx="126">
                  <c:v>710.95</c:v>
                </c:pt>
                <c:pt idx="127">
                  <c:v>899.75</c:v>
                </c:pt>
                <c:pt idx="128">
                  <c:v>651.95000000000005</c:v>
                </c:pt>
                <c:pt idx="129">
                  <c:v>1138.7</c:v>
                </c:pt>
                <c:pt idx="130">
                  <c:v>1416</c:v>
                </c:pt>
                <c:pt idx="131">
                  <c:v>1584.15</c:v>
                </c:pt>
                <c:pt idx="132">
                  <c:v>1758.2</c:v>
                </c:pt>
                <c:pt idx="133">
                  <c:v>601.80000000000007</c:v>
                </c:pt>
                <c:pt idx="134">
                  <c:v>1209.5</c:v>
                </c:pt>
                <c:pt idx="135">
                  <c:v>1386.5</c:v>
                </c:pt>
                <c:pt idx="136">
                  <c:v>651.95000000000005</c:v>
                </c:pt>
                <c:pt idx="137">
                  <c:v>1483.8500000000001</c:v>
                </c:pt>
                <c:pt idx="138">
                  <c:v>1560.5500000000002</c:v>
                </c:pt>
                <c:pt idx="139">
                  <c:v>2318.7000000000003</c:v>
                </c:pt>
                <c:pt idx="140">
                  <c:v>1380.6000000000001</c:v>
                </c:pt>
                <c:pt idx="141">
                  <c:v>1669.7</c:v>
                </c:pt>
                <c:pt idx="142">
                  <c:v>843.7</c:v>
                </c:pt>
                <c:pt idx="143">
                  <c:v>1123.95</c:v>
                </c:pt>
                <c:pt idx="144">
                  <c:v>1416</c:v>
                </c:pt>
                <c:pt idx="145">
                  <c:v>401.20000000000005</c:v>
                </c:pt>
                <c:pt idx="146">
                  <c:v>814.2</c:v>
                </c:pt>
                <c:pt idx="147">
                  <c:v>610.65000000000009</c:v>
                </c:pt>
                <c:pt idx="148">
                  <c:v>1209.5</c:v>
                </c:pt>
                <c:pt idx="149">
                  <c:v>1386.5</c:v>
                </c:pt>
                <c:pt idx="150">
                  <c:v>1035.45</c:v>
                </c:pt>
                <c:pt idx="151">
                  <c:v>1197.7</c:v>
                </c:pt>
                <c:pt idx="152">
                  <c:v>515.36500000000001</c:v>
                </c:pt>
                <c:pt idx="153">
                  <c:v>1112.1500000000001</c:v>
                </c:pt>
                <c:pt idx="154">
                  <c:v>769.95</c:v>
                </c:pt>
                <c:pt idx="155">
                  <c:v>1241.95</c:v>
                </c:pt>
                <c:pt idx="156">
                  <c:v>690.30000000000007</c:v>
                </c:pt>
                <c:pt idx="157">
                  <c:v>979.40000000000009</c:v>
                </c:pt>
                <c:pt idx="158">
                  <c:v>1115.1000000000001</c:v>
                </c:pt>
                <c:pt idx="159">
                  <c:v>1250.8000000000002</c:v>
                </c:pt>
                <c:pt idx="160">
                  <c:v>1404.2</c:v>
                </c:pt>
                <c:pt idx="161">
                  <c:v>1631.3500000000001</c:v>
                </c:pt>
                <c:pt idx="162">
                  <c:v>590</c:v>
                </c:pt>
                <c:pt idx="163">
                  <c:v>669.65000000000009</c:v>
                </c:pt>
                <c:pt idx="164">
                  <c:v>1534</c:v>
                </c:pt>
                <c:pt idx="165">
                  <c:v>640.15000000000009</c:v>
                </c:pt>
                <c:pt idx="166">
                  <c:v>651.95000000000005</c:v>
                </c:pt>
                <c:pt idx="167">
                  <c:v>1277.3500000000001</c:v>
                </c:pt>
                <c:pt idx="168">
                  <c:v>1436.65</c:v>
                </c:pt>
                <c:pt idx="169">
                  <c:v>342.20000000000005</c:v>
                </c:pt>
                <c:pt idx="170">
                  <c:v>743.40000000000009</c:v>
                </c:pt>
                <c:pt idx="171">
                  <c:v>1831.95</c:v>
                </c:pt>
                <c:pt idx="172">
                  <c:v>1534</c:v>
                </c:pt>
                <c:pt idx="173">
                  <c:v>359.90000000000003</c:v>
                </c:pt>
                <c:pt idx="174">
                  <c:v>1044.3</c:v>
                </c:pt>
                <c:pt idx="175">
                  <c:v>2135.8000000000002</c:v>
                </c:pt>
                <c:pt idx="176">
                  <c:v>2070.9</c:v>
                </c:pt>
                <c:pt idx="177">
                  <c:v>295.88499999999999</c:v>
                </c:pt>
                <c:pt idx="178">
                  <c:v>532.47500000000002</c:v>
                </c:pt>
                <c:pt idx="179">
                  <c:v>415.36000000000007</c:v>
                </c:pt>
                <c:pt idx="180">
                  <c:v>1091.5</c:v>
                </c:pt>
                <c:pt idx="181">
                  <c:v>837.80000000000007</c:v>
                </c:pt>
                <c:pt idx="182">
                  <c:v>784.7</c:v>
                </c:pt>
                <c:pt idx="183">
                  <c:v>1067.9000000000001</c:v>
                </c:pt>
                <c:pt idx="184">
                  <c:v>1713.95</c:v>
                </c:pt>
                <c:pt idx="185">
                  <c:v>383.5</c:v>
                </c:pt>
                <c:pt idx="186">
                  <c:v>958.75000000000011</c:v>
                </c:pt>
                <c:pt idx="187">
                  <c:v>591.77</c:v>
                </c:pt>
                <c:pt idx="188">
                  <c:v>591.77</c:v>
                </c:pt>
                <c:pt idx="189">
                  <c:v>702.1</c:v>
                </c:pt>
                <c:pt idx="190">
                  <c:v>1534</c:v>
                </c:pt>
                <c:pt idx="191">
                  <c:v>1495.65</c:v>
                </c:pt>
                <c:pt idx="192">
                  <c:v>1539.9</c:v>
                </c:pt>
                <c:pt idx="193">
                  <c:v>1539.9</c:v>
                </c:pt>
                <c:pt idx="194">
                  <c:v>295.88499999999999</c:v>
                </c:pt>
                <c:pt idx="195">
                  <c:v>383.5</c:v>
                </c:pt>
                <c:pt idx="196">
                  <c:v>447.22</c:v>
                </c:pt>
                <c:pt idx="197">
                  <c:v>702.1</c:v>
                </c:pt>
                <c:pt idx="198">
                  <c:v>1085.6000000000001</c:v>
                </c:pt>
                <c:pt idx="199">
                  <c:v>1418.95</c:v>
                </c:pt>
                <c:pt idx="200">
                  <c:v>1421.9</c:v>
                </c:pt>
                <c:pt idx="201">
                  <c:v>1097.4000000000001</c:v>
                </c:pt>
                <c:pt idx="202">
                  <c:v>1587.1000000000001</c:v>
                </c:pt>
                <c:pt idx="203">
                  <c:v>1917.5000000000002</c:v>
                </c:pt>
                <c:pt idx="204">
                  <c:v>1982.4</c:v>
                </c:pt>
                <c:pt idx="205">
                  <c:v>734.55000000000007</c:v>
                </c:pt>
                <c:pt idx="206">
                  <c:v>1628.4</c:v>
                </c:pt>
                <c:pt idx="207">
                  <c:v>1534</c:v>
                </c:pt>
                <c:pt idx="208">
                  <c:v>1982.4</c:v>
                </c:pt>
                <c:pt idx="209">
                  <c:v>2318.7000000000003</c:v>
                </c:pt>
                <c:pt idx="210">
                  <c:v>2419</c:v>
                </c:pt>
                <c:pt idx="211">
                  <c:v>1858.5</c:v>
                </c:pt>
                <c:pt idx="212">
                  <c:v>1976.5000000000002</c:v>
                </c:pt>
                <c:pt idx="213">
                  <c:v>2374.75</c:v>
                </c:pt>
                <c:pt idx="214">
                  <c:v>2419</c:v>
                </c:pt>
                <c:pt idx="215">
                  <c:v>2419</c:v>
                </c:pt>
                <c:pt idx="216">
                  <c:v>2483.9</c:v>
                </c:pt>
                <c:pt idx="217">
                  <c:v>2280.3500000000004</c:v>
                </c:pt>
                <c:pt idx="218">
                  <c:v>2357.0500000000002</c:v>
                </c:pt>
                <c:pt idx="219">
                  <c:v>2522.25</c:v>
                </c:pt>
                <c:pt idx="220">
                  <c:v>2377.7000000000003</c:v>
                </c:pt>
                <c:pt idx="221">
                  <c:v>2298.0500000000002</c:v>
                </c:pt>
                <c:pt idx="222">
                  <c:v>2646.15</c:v>
                </c:pt>
                <c:pt idx="223">
                  <c:v>2646.15</c:v>
                </c:pt>
                <c:pt idx="224">
                  <c:v>3442.65</c:v>
                </c:pt>
                <c:pt idx="225">
                  <c:v>3448.55</c:v>
                </c:pt>
                <c:pt idx="226">
                  <c:v>2501.6000000000004</c:v>
                </c:pt>
                <c:pt idx="227">
                  <c:v>2622.55</c:v>
                </c:pt>
                <c:pt idx="228">
                  <c:v>2501.6000000000004</c:v>
                </c:pt>
                <c:pt idx="229">
                  <c:v>2480.9500000000003</c:v>
                </c:pt>
                <c:pt idx="230">
                  <c:v>2460.3000000000002</c:v>
                </c:pt>
                <c:pt idx="231">
                  <c:v>2215.4500000000003</c:v>
                </c:pt>
                <c:pt idx="232">
                  <c:v>2135.8000000000002</c:v>
                </c:pt>
                <c:pt idx="233">
                  <c:v>2094.5</c:v>
                </c:pt>
                <c:pt idx="234">
                  <c:v>2501.6000000000004</c:v>
                </c:pt>
                <c:pt idx="235">
                  <c:v>2398.3500000000004</c:v>
                </c:pt>
                <c:pt idx="236">
                  <c:v>2419</c:v>
                </c:pt>
                <c:pt idx="237">
                  <c:v>2483.9</c:v>
                </c:pt>
                <c:pt idx="238">
                  <c:v>3253.8500000000004</c:v>
                </c:pt>
                <c:pt idx="239">
                  <c:v>3174.2000000000003</c:v>
                </c:pt>
                <c:pt idx="240">
                  <c:v>2950</c:v>
                </c:pt>
                <c:pt idx="241">
                  <c:v>3253.8500000000004</c:v>
                </c:pt>
                <c:pt idx="242">
                  <c:v>2888.05</c:v>
                </c:pt>
                <c:pt idx="243">
                  <c:v>2259.7000000000003</c:v>
                </c:pt>
                <c:pt idx="244">
                  <c:v>2421.9500000000003</c:v>
                </c:pt>
                <c:pt idx="245">
                  <c:v>2177.1</c:v>
                </c:pt>
                <c:pt idx="246">
                  <c:v>2460.3000000000002</c:v>
                </c:pt>
                <c:pt idx="247">
                  <c:v>3124.05</c:v>
                </c:pt>
                <c:pt idx="248">
                  <c:v>2563.5500000000002</c:v>
                </c:pt>
                <c:pt idx="249">
                  <c:v>2870.3500000000004</c:v>
                </c:pt>
                <c:pt idx="250">
                  <c:v>2277.4</c:v>
                </c:pt>
                <c:pt idx="251">
                  <c:v>2398.3500000000004</c:v>
                </c:pt>
                <c:pt idx="252">
                  <c:v>2528.15</c:v>
                </c:pt>
                <c:pt idx="253">
                  <c:v>2610.75</c:v>
                </c:pt>
                <c:pt idx="254">
                  <c:v>2787.75</c:v>
                </c:pt>
                <c:pt idx="255">
                  <c:v>2360</c:v>
                </c:pt>
                <c:pt idx="256">
                  <c:v>2360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F4-F340-8B1B-43ECA9ACDC42}"/>
            </c:ext>
          </c:extLst>
        </c:ser>
        <c:ser>
          <c:idx val="2"/>
          <c:order val="2"/>
          <c:tx>
            <c:v>Magnesium alloys</c:v>
          </c:tx>
          <c:spPr>
            <a:ln w="31750">
              <a:noFill/>
            </a:ln>
          </c:spPr>
          <c:xVal>
            <c:numRef>
              <c:f>[1]Foglio3!$G$3:$G$42</c:f>
              <c:numCache>
                <c:formatCode>General</c:formatCode>
                <c:ptCount val="40"/>
                <c:pt idx="0">
                  <c:v>6955.2772524999991</c:v>
                </c:pt>
                <c:pt idx="1">
                  <c:v>7039.9938700000002</c:v>
                </c:pt>
                <c:pt idx="2">
                  <c:v>6696.3823515999993</c:v>
                </c:pt>
                <c:pt idx="3">
                  <c:v>6576.1929000000009</c:v>
                </c:pt>
                <c:pt idx="4">
                  <c:v>7166.6329187499996</c:v>
                </c:pt>
                <c:pt idx="5">
                  <c:v>6965.255837499999</c:v>
                </c:pt>
                <c:pt idx="6">
                  <c:v>6872.0492474999983</c:v>
                </c:pt>
                <c:pt idx="7">
                  <c:v>6792.4915699999983</c:v>
                </c:pt>
                <c:pt idx="8">
                  <c:v>7146.3189974999987</c:v>
                </c:pt>
                <c:pt idx="9">
                  <c:v>7163.4535014999983</c:v>
                </c:pt>
                <c:pt idx="10">
                  <c:v>6997.7611799999995</c:v>
                </c:pt>
                <c:pt idx="11">
                  <c:v>6948.0016350000014</c:v>
                </c:pt>
                <c:pt idx="12">
                  <c:v>6788.4235974999992</c:v>
                </c:pt>
                <c:pt idx="13">
                  <c:v>6791.7635774999999</c:v>
                </c:pt>
                <c:pt idx="14">
                  <c:v>6649.7201775000003</c:v>
                </c:pt>
                <c:pt idx="15">
                  <c:v>6648.3770649999997</c:v>
                </c:pt>
                <c:pt idx="16">
                  <c:v>6582.3985499999999</c:v>
                </c:pt>
                <c:pt idx="17">
                  <c:v>7035.4902799999991</c:v>
                </c:pt>
                <c:pt idx="18">
                  <c:v>7201.5842249999987</c:v>
                </c:pt>
                <c:pt idx="19">
                  <c:v>7157.6941799999995</c:v>
                </c:pt>
                <c:pt idx="20">
                  <c:v>6376.0840000000007</c:v>
                </c:pt>
                <c:pt idx="21">
                  <c:v>7107.5604899999989</c:v>
                </c:pt>
                <c:pt idx="22">
                  <c:v>7299.8877937499992</c:v>
                </c:pt>
                <c:pt idx="23">
                  <c:v>7322.2275149999996</c:v>
                </c:pt>
                <c:pt idx="24">
                  <c:v>7263.8975762500004</c:v>
                </c:pt>
                <c:pt idx="25">
                  <c:v>6943.29</c:v>
                </c:pt>
                <c:pt idx="26">
                  <c:v>7007.4554549999993</c:v>
                </c:pt>
                <c:pt idx="27">
                  <c:v>7095.5773200000003</c:v>
                </c:pt>
                <c:pt idx="28">
                  <c:v>6907.4542124999998</c:v>
                </c:pt>
                <c:pt idx="29">
                  <c:v>6788.4235974999992</c:v>
                </c:pt>
                <c:pt idx="30">
                  <c:v>6677.9034474999989</c:v>
                </c:pt>
                <c:pt idx="31">
                  <c:v>6756.5059899999987</c:v>
                </c:pt>
                <c:pt idx="32">
                  <c:v>7299.8877937499992</c:v>
                </c:pt>
                <c:pt idx="33">
                  <c:v>7385.2145762500004</c:v>
                </c:pt>
                <c:pt idx="34">
                  <c:v>7041.0418</c:v>
                </c:pt>
                <c:pt idx="35">
                  <c:v>7010.8349999999991</c:v>
                </c:pt>
                <c:pt idx="36">
                  <c:v>7048.5322699999988</c:v>
                </c:pt>
                <c:pt idx="37">
                  <c:v>7048.5322699999988</c:v>
                </c:pt>
                <c:pt idx="38">
                  <c:v>7055.6649974999991</c:v>
                </c:pt>
                <c:pt idx="39">
                  <c:v>7057.6177500000003</c:v>
                </c:pt>
              </c:numCache>
            </c:numRef>
          </c:xVal>
          <c:yVal>
            <c:numRef>
              <c:f>[1]Foglio3!$H$3:$H$42</c:f>
              <c:numCache>
                <c:formatCode>General</c:formatCode>
                <c:ptCount val="40"/>
                <c:pt idx="0">
                  <c:v>605.625</c:v>
                </c:pt>
                <c:pt idx="1">
                  <c:v>575.875</c:v>
                </c:pt>
                <c:pt idx="2">
                  <c:v>614.125</c:v>
                </c:pt>
                <c:pt idx="3">
                  <c:v>433.5</c:v>
                </c:pt>
                <c:pt idx="4">
                  <c:v>446.25</c:v>
                </c:pt>
                <c:pt idx="5">
                  <c:v>531.25</c:v>
                </c:pt>
                <c:pt idx="6">
                  <c:v>573.75</c:v>
                </c:pt>
                <c:pt idx="7">
                  <c:v>580.125</c:v>
                </c:pt>
                <c:pt idx="8">
                  <c:v>467.5</c:v>
                </c:pt>
                <c:pt idx="9">
                  <c:v>518.5</c:v>
                </c:pt>
                <c:pt idx="10">
                  <c:v>573.75</c:v>
                </c:pt>
                <c:pt idx="11">
                  <c:v>573.75</c:v>
                </c:pt>
                <c:pt idx="12">
                  <c:v>637.5</c:v>
                </c:pt>
                <c:pt idx="13">
                  <c:v>637.5</c:v>
                </c:pt>
                <c:pt idx="14">
                  <c:v>616.25</c:v>
                </c:pt>
                <c:pt idx="15">
                  <c:v>658.75</c:v>
                </c:pt>
                <c:pt idx="16">
                  <c:v>556.75</c:v>
                </c:pt>
                <c:pt idx="17">
                  <c:v>686.375</c:v>
                </c:pt>
                <c:pt idx="18">
                  <c:v>828.75</c:v>
                </c:pt>
                <c:pt idx="19">
                  <c:v>340</c:v>
                </c:pt>
                <c:pt idx="20">
                  <c:v>297.5</c:v>
                </c:pt>
                <c:pt idx="21">
                  <c:v>703.375</c:v>
                </c:pt>
                <c:pt idx="22">
                  <c:v>807.5</c:v>
                </c:pt>
                <c:pt idx="23">
                  <c:v>773.5</c:v>
                </c:pt>
                <c:pt idx="24">
                  <c:v>871.25</c:v>
                </c:pt>
                <c:pt idx="25">
                  <c:v>671.5</c:v>
                </c:pt>
                <c:pt idx="26">
                  <c:v>541.875</c:v>
                </c:pt>
                <c:pt idx="27">
                  <c:v>350.625</c:v>
                </c:pt>
                <c:pt idx="28">
                  <c:v>658.75</c:v>
                </c:pt>
                <c:pt idx="29">
                  <c:v>818.125</c:v>
                </c:pt>
                <c:pt idx="30">
                  <c:v>860.625</c:v>
                </c:pt>
                <c:pt idx="31">
                  <c:v>1712.75</c:v>
                </c:pt>
                <c:pt idx="32">
                  <c:v>828.75</c:v>
                </c:pt>
                <c:pt idx="33">
                  <c:v>881.875</c:v>
                </c:pt>
                <c:pt idx="34">
                  <c:v>622.625</c:v>
                </c:pt>
                <c:pt idx="35">
                  <c:v>1338.75</c:v>
                </c:pt>
                <c:pt idx="36">
                  <c:v>1051.875</c:v>
                </c:pt>
                <c:pt idx="37">
                  <c:v>1241</c:v>
                </c:pt>
                <c:pt idx="38">
                  <c:v>605.625</c:v>
                </c:pt>
                <c:pt idx="39">
                  <c:v>1009.375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4F4-F340-8B1B-43ECA9ACDC42}"/>
            </c:ext>
          </c:extLst>
        </c:ser>
        <c:ser>
          <c:idx val="3"/>
          <c:order val="3"/>
          <c:tx>
            <c:v>Steels</c:v>
          </c:tx>
          <c:spPr>
            <a:ln w="31750">
              <a:noFill/>
            </a:ln>
          </c:spPr>
          <c:xVal>
            <c:numRef>
              <c:f>[2]Foglio3!$F$3:$F$518</c:f>
              <c:numCache>
                <c:formatCode>General</c:formatCode>
                <c:ptCount val="516"/>
                <c:pt idx="0">
                  <c:v>4299.9725202</c:v>
                </c:pt>
                <c:pt idx="1">
                  <c:v>165.89508624999999</c:v>
                </c:pt>
                <c:pt idx="2">
                  <c:v>4136.4964494000005</c:v>
                </c:pt>
                <c:pt idx="3">
                  <c:v>3131.0905660000008</c:v>
                </c:pt>
                <c:pt idx="4">
                  <c:v>11151.409191999999</c:v>
                </c:pt>
                <c:pt idx="5">
                  <c:v>2896.2180719999997</c:v>
                </c:pt>
                <c:pt idx="6">
                  <c:v>3193.1883719999996</c:v>
                </c:pt>
                <c:pt idx="7">
                  <c:v>4666.7580739999994</c:v>
                </c:pt>
                <c:pt idx="8">
                  <c:v>272.69871650000005</c:v>
                </c:pt>
                <c:pt idx="9">
                  <c:v>363.46264250000007</c:v>
                </c:pt>
                <c:pt idx="10">
                  <c:v>363.46264250000007</c:v>
                </c:pt>
                <c:pt idx="11">
                  <c:v>457.59524062499992</c:v>
                </c:pt>
                <c:pt idx="12">
                  <c:v>315.10981562500001</c:v>
                </c:pt>
                <c:pt idx="13">
                  <c:v>315.10981562500001</c:v>
                </c:pt>
                <c:pt idx="14">
                  <c:v>282.94854000000004</c:v>
                </c:pt>
                <c:pt idx="15">
                  <c:v>282.94854000000004</c:v>
                </c:pt>
                <c:pt idx="16">
                  <c:v>199.80585375000001</c:v>
                </c:pt>
                <c:pt idx="17">
                  <c:v>199.80585375000001</c:v>
                </c:pt>
                <c:pt idx="18">
                  <c:v>199.80585375000001</c:v>
                </c:pt>
                <c:pt idx="19">
                  <c:v>199.80585375000001</c:v>
                </c:pt>
                <c:pt idx="20">
                  <c:v>199.80585375000001</c:v>
                </c:pt>
                <c:pt idx="21">
                  <c:v>213.07235374999999</c:v>
                </c:pt>
                <c:pt idx="22">
                  <c:v>213.07235374999999</c:v>
                </c:pt>
                <c:pt idx="23">
                  <c:v>213.07235374999999</c:v>
                </c:pt>
                <c:pt idx="24">
                  <c:v>213.07235374999999</c:v>
                </c:pt>
                <c:pt idx="25">
                  <c:v>213.07235374999999</c:v>
                </c:pt>
                <c:pt idx="26">
                  <c:v>346.38497875000002</c:v>
                </c:pt>
                <c:pt idx="27">
                  <c:v>346.38497875000002</c:v>
                </c:pt>
                <c:pt idx="28">
                  <c:v>346.38497875000002</c:v>
                </c:pt>
                <c:pt idx="29">
                  <c:v>346.38497875000002</c:v>
                </c:pt>
                <c:pt idx="30">
                  <c:v>346.38497875000002</c:v>
                </c:pt>
                <c:pt idx="31">
                  <c:v>346.38497875000002</c:v>
                </c:pt>
                <c:pt idx="32">
                  <c:v>346.38497875000002</c:v>
                </c:pt>
                <c:pt idx="33">
                  <c:v>346.38497875000002</c:v>
                </c:pt>
                <c:pt idx="34">
                  <c:v>358.73516925000001</c:v>
                </c:pt>
                <c:pt idx="35">
                  <c:v>358.73516925000001</c:v>
                </c:pt>
                <c:pt idx="36">
                  <c:v>372.91797874999997</c:v>
                </c:pt>
                <c:pt idx="37">
                  <c:v>372.91797874999997</c:v>
                </c:pt>
                <c:pt idx="38">
                  <c:v>372.91797874999997</c:v>
                </c:pt>
                <c:pt idx="39">
                  <c:v>372.91797874999997</c:v>
                </c:pt>
                <c:pt idx="40">
                  <c:v>372.91797874999997</c:v>
                </c:pt>
                <c:pt idx="41">
                  <c:v>372.91797874999997</c:v>
                </c:pt>
                <c:pt idx="42">
                  <c:v>372.91797874999997</c:v>
                </c:pt>
                <c:pt idx="43">
                  <c:v>399.45097874999999</c:v>
                </c:pt>
                <c:pt idx="44">
                  <c:v>399.45097874999999</c:v>
                </c:pt>
                <c:pt idx="45">
                  <c:v>399.45097874999999</c:v>
                </c:pt>
                <c:pt idx="46">
                  <c:v>399.45097874999999</c:v>
                </c:pt>
                <c:pt idx="47">
                  <c:v>399.45097874999999</c:v>
                </c:pt>
                <c:pt idx="48">
                  <c:v>399.45097874999999</c:v>
                </c:pt>
                <c:pt idx="49">
                  <c:v>399.45097874999999</c:v>
                </c:pt>
                <c:pt idx="50">
                  <c:v>697.16636549999998</c:v>
                </c:pt>
                <c:pt idx="51">
                  <c:v>691.87328549999995</c:v>
                </c:pt>
                <c:pt idx="52">
                  <c:v>243.61670375</c:v>
                </c:pt>
                <c:pt idx="53">
                  <c:v>243.61670375</c:v>
                </c:pt>
                <c:pt idx="54">
                  <c:v>382.07659500000005</c:v>
                </c:pt>
                <c:pt idx="55">
                  <c:v>416.05292250000002</c:v>
                </c:pt>
                <c:pt idx="56">
                  <c:v>348.87146625000003</c:v>
                </c:pt>
                <c:pt idx="57">
                  <c:v>348.87146625000003</c:v>
                </c:pt>
                <c:pt idx="58">
                  <c:v>348.87146625000003</c:v>
                </c:pt>
                <c:pt idx="59">
                  <c:v>348.87146625000003</c:v>
                </c:pt>
                <c:pt idx="60">
                  <c:v>348.87146625000003</c:v>
                </c:pt>
                <c:pt idx="61">
                  <c:v>348.87146625000003</c:v>
                </c:pt>
                <c:pt idx="62">
                  <c:v>348.87146625000003</c:v>
                </c:pt>
                <c:pt idx="63">
                  <c:v>348.87146625000003</c:v>
                </c:pt>
                <c:pt idx="64">
                  <c:v>562.3181055</c:v>
                </c:pt>
                <c:pt idx="65">
                  <c:v>152.04645375000004</c:v>
                </c:pt>
                <c:pt idx="66">
                  <c:v>152.04645375000004</c:v>
                </c:pt>
                <c:pt idx="67">
                  <c:v>154.69975375000001</c:v>
                </c:pt>
                <c:pt idx="68">
                  <c:v>154.69975375000001</c:v>
                </c:pt>
                <c:pt idx="69">
                  <c:v>229.89294124999998</c:v>
                </c:pt>
                <c:pt idx="70">
                  <c:v>229.89294124999998</c:v>
                </c:pt>
                <c:pt idx="71">
                  <c:v>229.89294124999998</c:v>
                </c:pt>
                <c:pt idx="72">
                  <c:v>229.89294124999998</c:v>
                </c:pt>
                <c:pt idx="73">
                  <c:v>229.89294124999998</c:v>
                </c:pt>
                <c:pt idx="74">
                  <c:v>229.89294124999998</c:v>
                </c:pt>
                <c:pt idx="75">
                  <c:v>229.89294124999998</c:v>
                </c:pt>
                <c:pt idx="76">
                  <c:v>229.89294124999998</c:v>
                </c:pt>
                <c:pt idx="77">
                  <c:v>229.89294124999998</c:v>
                </c:pt>
                <c:pt idx="78">
                  <c:v>307.42150375</c:v>
                </c:pt>
                <c:pt idx="79">
                  <c:v>307.42150375</c:v>
                </c:pt>
                <c:pt idx="80">
                  <c:v>307.42150375</c:v>
                </c:pt>
                <c:pt idx="81">
                  <c:v>307.42150375</c:v>
                </c:pt>
                <c:pt idx="82">
                  <c:v>311.05997875000003</c:v>
                </c:pt>
                <c:pt idx="83">
                  <c:v>311.05997875000003</c:v>
                </c:pt>
                <c:pt idx="84">
                  <c:v>311.05997875000003</c:v>
                </c:pt>
                <c:pt idx="85">
                  <c:v>311.05997875000003</c:v>
                </c:pt>
                <c:pt idx="86">
                  <c:v>311.05997875000003</c:v>
                </c:pt>
                <c:pt idx="87">
                  <c:v>310.12190375000006</c:v>
                </c:pt>
                <c:pt idx="88">
                  <c:v>310.12190375000006</c:v>
                </c:pt>
                <c:pt idx="89">
                  <c:v>310.12190375000006</c:v>
                </c:pt>
                <c:pt idx="90">
                  <c:v>310.12190375000006</c:v>
                </c:pt>
                <c:pt idx="91">
                  <c:v>310.12190375000006</c:v>
                </c:pt>
                <c:pt idx="92">
                  <c:v>310.12190375000006</c:v>
                </c:pt>
                <c:pt idx="93">
                  <c:v>310.12190375000006</c:v>
                </c:pt>
                <c:pt idx="94">
                  <c:v>336.65490375000002</c:v>
                </c:pt>
                <c:pt idx="95">
                  <c:v>336.65490375000002</c:v>
                </c:pt>
                <c:pt idx="96">
                  <c:v>336.65490375000002</c:v>
                </c:pt>
                <c:pt idx="97">
                  <c:v>336.65490375000002</c:v>
                </c:pt>
                <c:pt idx="98">
                  <c:v>336.65490375000002</c:v>
                </c:pt>
                <c:pt idx="99">
                  <c:v>336.65490375000002</c:v>
                </c:pt>
                <c:pt idx="100">
                  <c:v>336.65490375000002</c:v>
                </c:pt>
                <c:pt idx="101">
                  <c:v>361.86125375000006</c:v>
                </c:pt>
                <c:pt idx="102">
                  <c:v>361.86125375000006</c:v>
                </c:pt>
                <c:pt idx="103">
                  <c:v>361.86125375000006</c:v>
                </c:pt>
                <c:pt idx="104">
                  <c:v>361.86125375000006</c:v>
                </c:pt>
                <c:pt idx="105">
                  <c:v>361.86125375000006</c:v>
                </c:pt>
                <c:pt idx="106">
                  <c:v>361.86125375000006</c:v>
                </c:pt>
                <c:pt idx="107">
                  <c:v>361.86125375000006</c:v>
                </c:pt>
                <c:pt idx="108">
                  <c:v>389.61885375000003</c:v>
                </c:pt>
                <c:pt idx="109">
                  <c:v>389.61885375000003</c:v>
                </c:pt>
                <c:pt idx="110">
                  <c:v>389.61885375000003</c:v>
                </c:pt>
                <c:pt idx="111">
                  <c:v>389.61885375000003</c:v>
                </c:pt>
                <c:pt idx="112">
                  <c:v>389.61885375000003</c:v>
                </c:pt>
                <c:pt idx="113">
                  <c:v>389.61885375000003</c:v>
                </c:pt>
                <c:pt idx="114">
                  <c:v>389.61885375000003</c:v>
                </c:pt>
                <c:pt idx="115">
                  <c:v>280.04070374999998</c:v>
                </c:pt>
                <c:pt idx="116">
                  <c:v>280.04070374999998</c:v>
                </c:pt>
                <c:pt idx="117">
                  <c:v>280.04070374999998</c:v>
                </c:pt>
                <c:pt idx="118">
                  <c:v>280.04070374999998</c:v>
                </c:pt>
                <c:pt idx="119">
                  <c:v>280.04070374999998</c:v>
                </c:pt>
                <c:pt idx="120">
                  <c:v>263.97175375</c:v>
                </c:pt>
                <c:pt idx="121">
                  <c:v>263.97175375</c:v>
                </c:pt>
                <c:pt idx="122">
                  <c:v>263.97175375</c:v>
                </c:pt>
                <c:pt idx="123">
                  <c:v>263.97175375</c:v>
                </c:pt>
                <c:pt idx="124">
                  <c:v>263.97175375</c:v>
                </c:pt>
                <c:pt idx="125">
                  <c:v>263.97175375</c:v>
                </c:pt>
                <c:pt idx="126">
                  <c:v>263.97175375</c:v>
                </c:pt>
                <c:pt idx="127">
                  <c:v>263.97175375</c:v>
                </c:pt>
                <c:pt idx="128">
                  <c:v>290.50475375000002</c:v>
                </c:pt>
                <c:pt idx="129">
                  <c:v>290.50475375000002</c:v>
                </c:pt>
                <c:pt idx="130">
                  <c:v>290.50475375000002</c:v>
                </c:pt>
                <c:pt idx="131">
                  <c:v>290.50475375000002</c:v>
                </c:pt>
                <c:pt idx="132">
                  <c:v>290.50475375000002</c:v>
                </c:pt>
                <c:pt idx="133">
                  <c:v>317.03775374999998</c:v>
                </c:pt>
                <c:pt idx="134">
                  <c:v>317.03775374999998</c:v>
                </c:pt>
                <c:pt idx="135">
                  <c:v>317.03775374999998</c:v>
                </c:pt>
                <c:pt idx="136">
                  <c:v>317.03775374999998</c:v>
                </c:pt>
                <c:pt idx="137">
                  <c:v>317.03775374999998</c:v>
                </c:pt>
                <c:pt idx="138">
                  <c:v>317.03775374999998</c:v>
                </c:pt>
                <c:pt idx="139">
                  <c:v>317.03775374999998</c:v>
                </c:pt>
                <c:pt idx="140">
                  <c:v>342.24410375000002</c:v>
                </c:pt>
                <c:pt idx="141">
                  <c:v>342.24410375000002</c:v>
                </c:pt>
                <c:pt idx="142">
                  <c:v>342.24410375000002</c:v>
                </c:pt>
                <c:pt idx="143">
                  <c:v>304.19829375000006</c:v>
                </c:pt>
                <c:pt idx="144">
                  <c:v>304.19829375000006</c:v>
                </c:pt>
                <c:pt idx="145">
                  <c:v>304.19829375000006</c:v>
                </c:pt>
                <c:pt idx="146">
                  <c:v>304.19829375000006</c:v>
                </c:pt>
                <c:pt idx="147">
                  <c:v>304.19829375000006</c:v>
                </c:pt>
                <c:pt idx="148">
                  <c:v>299.33600374999997</c:v>
                </c:pt>
                <c:pt idx="149">
                  <c:v>299.33600374999997</c:v>
                </c:pt>
                <c:pt idx="150">
                  <c:v>299.33600374999997</c:v>
                </c:pt>
                <c:pt idx="151">
                  <c:v>299.33600374999997</c:v>
                </c:pt>
                <c:pt idx="152">
                  <c:v>299.33600374999997</c:v>
                </c:pt>
                <c:pt idx="153">
                  <c:v>299.33600374999997</c:v>
                </c:pt>
                <c:pt idx="154">
                  <c:v>299.33600374999997</c:v>
                </c:pt>
                <c:pt idx="155">
                  <c:v>580.55047874999991</c:v>
                </c:pt>
                <c:pt idx="156">
                  <c:v>580.55047874999991</c:v>
                </c:pt>
                <c:pt idx="157">
                  <c:v>580.55047874999991</c:v>
                </c:pt>
                <c:pt idx="158">
                  <c:v>580.55047874999991</c:v>
                </c:pt>
                <c:pt idx="159">
                  <c:v>580.55047874999991</c:v>
                </c:pt>
                <c:pt idx="160">
                  <c:v>580.55047874999991</c:v>
                </c:pt>
                <c:pt idx="161">
                  <c:v>580.55047874999991</c:v>
                </c:pt>
                <c:pt idx="162">
                  <c:v>593.81697874999998</c:v>
                </c:pt>
                <c:pt idx="163">
                  <c:v>593.81697874999998</c:v>
                </c:pt>
                <c:pt idx="164">
                  <c:v>593.81697874999998</c:v>
                </c:pt>
                <c:pt idx="165">
                  <c:v>323.49555624999999</c:v>
                </c:pt>
                <c:pt idx="166">
                  <c:v>323.49555624999999</c:v>
                </c:pt>
                <c:pt idx="167">
                  <c:v>231.07161875000003</c:v>
                </c:pt>
                <c:pt idx="168">
                  <c:v>231.07161875000003</c:v>
                </c:pt>
                <c:pt idx="169">
                  <c:v>231.07161875000003</c:v>
                </c:pt>
                <c:pt idx="170">
                  <c:v>231.07161875000003</c:v>
                </c:pt>
                <c:pt idx="171">
                  <c:v>231.07161875000003</c:v>
                </c:pt>
                <c:pt idx="172">
                  <c:v>517.81845375</c:v>
                </c:pt>
                <c:pt idx="173">
                  <c:v>407.89463499999999</c:v>
                </c:pt>
                <c:pt idx="174">
                  <c:v>1519.6111895000001</c:v>
                </c:pt>
                <c:pt idx="175">
                  <c:v>1542.6810854999999</c:v>
                </c:pt>
                <c:pt idx="176">
                  <c:v>1587.6405874999998</c:v>
                </c:pt>
                <c:pt idx="177">
                  <c:v>484.44076999999999</c:v>
                </c:pt>
                <c:pt idx="178">
                  <c:v>166.191849375</c:v>
                </c:pt>
                <c:pt idx="179">
                  <c:v>166.191849375</c:v>
                </c:pt>
                <c:pt idx="180">
                  <c:v>166.191849375</c:v>
                </c:pt>
                <c:pt idx="181">
                  <c:v>166.191849375</c:v>
                </c:pt>
                <c:pt idx="182">
                  <c:v>43.507840000000002</c:v>
                </c:pt>
                <c:pt idx="183">
                  <c:v>43.507840000000002</c:v>
                </c:pt>
                <c:pt idx="184">
                  <c:v>43.507840000000002</c:v>
                </c:pt>
                <c:pt idx="185">
                  <c:v>55.447690000000001</c:v>
                </c:pt>
                <c:pt idx="186">
                  <c:v>55.447690000000001</c:v>
                </c:pt>
                <c:pt idx="187">
                  <c:v>55.447690000000001</c:v>
                </c:pt>
                <c:pt idx="188">
                  <c:v>56.774340000000009</c:v>
                </c:pt>
                <c:pt idx="189">
                  <c:v>56.774340000000009</c:v>
                </c:pt>
                <c:pt idx="190">
                  <c:v>56.774340000000009</c:v>
                </c:pt>
                <c:pt idx="191">
                  <c:v>47.487789999999997</c:v>
                </c:pt>
                <c:pt idx="192">
                  <c:v>47.487789999999997</c:v>
                </c:pt>
                <c:pt idx="193">
                  <c:v>47.487789999999997</c:v>
                </c:pt>
                <c:pt idx="194">
                  <c:v>47.487789999999997</c:v>
                </c:pt>
                <c:pt idx="195">
                  <c:v>47.487789999999997</c:v>
                </c:pt>
                <c:pt idx="196">
                  <c:v>47.487789999999997</c:v>
                </c:pt>
                <c:pt idx="197">
                  <c:v>27.710663499999999</c:v>
                </c:pt>
                <c:pt idx="198">
                  <c:v>84.633990000000011</c:v>
                </c:pt>
                <c:pt idx="199">
                  <c:v>84.633990000000011</c:v>
                </c:pt>
                <c:pt idx="200">
                  <c:v>84.633990000000011</c:v>
                </c:pt>
                <c:pt idx="201">
                  <c:v>84.633990000000011</c:v>
                </c:pt>
                <c:pt idx="202">
                  <c:v>84.633990000000011</c:v>
                </c:pt>
                <c:pt idx="203">
                  <c:v>84.633990000000011</c:v>
                </c:pt>
                <c:pt idx="204">
                  <c:v>84.633990000000011</c:v>
                </c:pt>
                <c:pt idx="205">
                  <c:v>84.633990000000011</c:v>
                </c:pt>
                <c:pt idx="206">
                  <c:v>109.84034</c:v>
                </c:pt>
                <c:pt idx="207">
                  <c:v>109.84034</c:v>
                </c:pt>
                <c:pt idx="208">
                  <c:v>109.84034</c:v>
                </c:pt>
                <c:pt idx="209">
                  <c:v>109.84034</c:v>
                </c:pt>
                <c:pt idx="210">
                  <c:v>109.84034</c:v>
                </c:pt>
                <c:pt idx="211">
                  <c:v>109.84034</c:v>
                </c:pt>
                <c:pt idx="212">
                  <c:v>109.84034</c:v>
                </c:pt>
                <c:pt idx="213">
                  <c:v>109.84034</c:v>
                </c:pt>
                <c:pt idx="214">
                  <c:v>109.84034</c:v>
                </c:pt>
                <c:pt idx="215">
                  <c:v>109.84034</c:v>
                </c:pt>
                <c:pt idx="216">
                  <c:v>109.84034</c:v>
                </c:pt>
                <c:pt idx="217">
                  <c:v>109.84034</c:v>
                </c:pt>
                <c:pt idx="218">
                  <c:v>109.84034</c:v>
                </c:pt>
                <c:pt idx="219">
                  <c:v>139.02663999999999</c:v>
                </c:pt>
                <c:pt idx="220">
                  <c:v>139.02663999999999</c:v>
                </c:pt>
                <c:pt idx="221">
                  <c:v>139.02663999999999</c:v>
                </c:pt>
                <c:pt idx="222">
                  <c:v>139.02663999999999</c:v>
                </c:pt>
                <c:pt idx="223">
                  <c:v>139.02663999999999</c:v>
                </c:pt>
                <c:pt idx="224">
                  <c:v>139.02663999999999</c:v>
                </c:pt>
                <c:pt idx="225">
                  <c:v>139.02663999999999</c:v>
                </c:pt>
                <c:pt idx="226">
                  <c:v>139.02663999999999</c:v>
                </c:pt>
                <c:pt idx="227">
                  <c:v>139.02663999999999</c:v>
                </c:pt>
                <c:pt idx="228">
                  <c:v>139.02663999999999</c:v>
                </c:pt>
                <c:pt idx="229">
                  <c:v>139.02663999999999</c:v>
                </c:pt>
                <c:pt idx="230">
                  <c:v>139.02663999999999</c:v>
                </c:pt>
                <c:pt idx="231">
                  <c:v>161.57969</c:v>
                </c:pt>
                <c:pt idx="232">
                  <c:v>161.57969</c:v>
                </c:pt>
                <c:pt idx="233">
                  <c:v>161.57969</c:v>
                </c:pt>
                <c:pt idx="234">
                  <c:v>161.57969</c:v>
                </c:pt>
                <c:pt idx="235">
                  <c:v>161.57969</c:v>
                </c:pt>
                <c:pt idx="236">
                  <c:v>161.57969</c:v>
                </c:pt>
                <c:pt idx="237">
                  <c:v>161.57969</c:v>
                </c:pt>
                <c:pt idx="238">
                  <c:v>161.57969</c:v>
                </c:pt>
                <c:pt idx="239">
                  <c:v>218.62563999999998</c:v>
                </c:pt>
                <c:pt idx="240">
                  <c:v>218.62563999999998</c:v>
                </c:pt>
                <c:pt idx="241">
                  <c:v>218.62563999999998</c:v>
                </c:pt>
                <c:pt idx="242">
                  <c:v>218.62563999999998</c:v>
                </c:pt>
                <c:pt idx="243">
                  <c:v>218.62563999999998</c:v>
                </c:pt>
                <c:pt idx="244">
                  <c:v>218.62563999999998</c:v>
                </c:pt>
                <c:pt idx="245">
                  <c:v>218.62563999999998</c:v>
                </c:pt>
                <c:pt idx="246">
                  <c:v>218.62563999999998</c:v>
                </c:pt>
                <c:pt idx="247">
                  <c:v>96.573840000000004</c:v>
                </c:pt>
                <c:pt idx="248">
                  <c:v>96.573840000000004</c:v>
                </c:pt>
                <c:pt idx="249">
                  <c:v>96.573840000000004</c:v>
                </c:pt>
                <c:pt idx="250">
                  <c:v>96.573840000000004</c:v>
                </c:pt>
                <c:pt idx="251">
                  <c:v>96.573840000000004</c:v>
                </c:pt>
                <c:pt idx="252">
                  <c:v>96.573840000000004</c:v>
                </c:pt>
                <c:pt idx="253">
                  <c:v>96.573840000000004</c:v>
                </c:pt>
                <c:pt idx="254">
                  <c:v>96.573840000000004</c:v>
                </c:pt>
                <c:pt idx="255">
                  <c:v>96.573840000000004</c:v>
                </c:pt>
                <c:pt idx="256">
                  <c:v>96.573840000000004</c:v>
                </c:pt>
                <c:pt idx="257">
                  <c:v>96.573840000000004</c:v>
                </c:pt>
                <c:pt idx="258">
                  <c:v>96.573840000000004</c:v>
                </c:pt>
                <c:pt idx="259">
                  <c:v>96.573840000000004</c:v>
                </c:pt>
                <c:pt idx="260">
                  <c:v>111.16699000000003</c:v>
                </c:pt>
                <c:pt idx="261">
                  <c:v>111.16699000000003</c:v>
                </c:pt>
                <c:pt idx="262">
                  <c:v>111.16699000000003</c:v>
                </c:pt>
                <c:pt idx="263">
                  <c:v>111.16699000000003</c:v>
                </c:pt>
                <c:pt idx="264">
                  <c:v>111.16699000000003</c:v>
                </c:pt>
                <c:pt idx="265">
                  <c:v>111.16699000000003</c:v>
                </c:pt>
                <c:pt idx="266">
                  <c:v>111.16699000000003</c:v>
                </c:pt>
                <c:pt idx="267">
                  <c:v>111.16699000000003</c:v>
                </c:pt>
                <c:pt idx="268">
                  <c:v>119.12688999999999</c:v>
                </c:pt>
                <c:pt idx="269">
                  <c:v>119.12688999999999</c:v>
                </c:pt>
                <c:pt idx="270">
                  <c:v>119.12688999999999</c:v>
                </c:pt>
                <c:pt idx="271">
                  <c:v>119.12688999999999</c:v>
                </c:pt>
                <c:pt idx="272">
                  <c:v>119.12688999999999</c:v>
                </c:pt>
                <c:pt idx="273">
                  <c:v>119.12688999999999</c:v>
                </c:pt>
                <c:pt idx="274">
                  <c:v>119.12688999999999</c:v>
                </c:pt>
                <c:pt idx="275">
                  <c:v>119.12688999999999</c:v>
                </c:pt>
                <c:pt idx="276">
                  <c:v>163.60950374999999</c:v>
                </c:pt>
                <c:pt idx="277">
                  <c:v>163.60950374999999</c:v>
                </c:pt>
                <c:pt idx="278">
                  <c:v>163.60950374999999</c:v>
                </c:pt>
                <c:pt idx="279">
                  <c:v>163.60950374999999</c:v>
                </c:pt>
                <c:pt idx="280">
                  <c:v>163.60950374999999</c:v>
                </c:pt>
                <c:pt idx="281">
                  <c:v>163.60950374999999</c:v>
                </c:pt>
                <c:pt idx="282">
                  <c:v>163.60950374999999</c:v>
                </c:pt>
                <c:pt idx="283">
                  <c:v>5262.8732780000009</c:v>
                </c:pt>
                <c:pt idx="284">
                  <c:v>5262.8732780000009</c:v>
                </c:pt>
                <c:pt idx="285">
                  <c:v>3757.3271000000004</c:v>
                </c:pt>
                <c:pt idx="286">
                  <c:v>3762.5661000000005</c:v>
                </c:pt>
                <c:pt idx="287">
                  <c:v>3767.8051000000005</c:v>
                </c:pt>
                <c:pt idx="288">
                  <c:v>3655.1356000000005</c:v>
                </c:pt>
                <c:pt idx="289">
                  <c:v>3698.7293500000005</c:v>
                </c:pt>
                <c:pt idx="290">
                  <c:v>4037.6949750000008</c:v>
                </c:pt>
                <c:pt idx="291">
                  <c:v>4037.6949750000008</c:v>
                </c:pt>
                <c:pt idx="292">
                  <c:v>4309.0224750000007</c:v>
                </c:pt>
                <c:pt idx="293">
                  <c:v>4568.3413499999997</c:v>
                </c:pt>
                <c:pt idx="294">
                  <c:v>4581.4388500000005</c:v>
                </c:pt>
                <c:pt idx="295">
                  <c:v>4762.2463500000003</c:v>
                </c:pt>
                <c:pt idx="296">
                  <c:v>4453.311200000001</c:v>
                </c:pt>
                <c:pt idx="297">
                  <c:v>4714.2512000000006</c:v>
                </c:pt>
                <c:pt idx="298">
                  <c:v>3224.3257800000001</c:v>
                </c:pt>
                <c:pt idx="299">
                  <c:v>3159.3826094999999</c:v>
                </c:pt>
                <c:pt idx="300">
                  <c:v>3159.3826094999999</c:v>
                </c:pt>
                <c:pt idx="301">
                  <c:v>3159.3826094999999</c:v>
                </c:pt>
                <c:pt idx="302">
                  <c:v>3159.3826094999999</c:v>
                </c:pt>
                <c:pt idx="303">
                  <c:v>3159.3826094999999</c:v>
                </c:pt>
                <c:pt idx="304">
                  <c:v>3159.3826094999999</c:v>
                </c:pt>
                <c:pt idx="305">
                  <c:v>3406.2997799999998</c:v>
                </c:pt>
                <c:pt idx="306">
                  <c:v>3406.2997799999998</c:v>
                </c:pt>
                <c:pt idx="307">
                  <c:v>3406.2997799999998</c:v>
                </c:pt>
                <c:pt idx="308">
                  <c:v>1568.6779405</c:v>
                </c:pt>
                <c:pt idx="309">
                  <c:v>3298.8196800000001</c:v>
                </c:pt>
                <c:pt idx="310">
                  <c:v>3273.0296940000003</c:v>
                </c:pt>
                <c:pt idx="311">
                  <c:v>3273.0296940000003</c:v>
                </c:pt>
                <c:pt idx="312">
                  <c:v>3273.0296940000003</c:v>
                </c:pt>
                <c:pt idx="313">
                  <c:v>3273.0296940000003</c:v>
                </c:pt>
                <c:pt idx="314">
                  <c:v>3273.0296940000003</c:v>
                </c:pt>
                <c:pt idx="315">
                  <c:v>3256.9679339999998</c:v>
                </c:pt>
                <c:pt idx="316">
                  <c:v>3453.4373807499996</c:v>
                </c:pt>
                <c:pt idx="317">
                  <c:v>3453.4373807499996</c:v>
                </c:pt>
                <c:pt idx="318">
                  <c:v>3453.4373807499996</c:v>
                </c:pt>
                <c:pt idx="319">
                  <c:v>3453.4373807499996</c:v>
                </c:pt>
                <c:pt idx="320">
                  <c:v>3542.8004899999996</c:v>
                </c:pt>
                <c:pt idx="321">
                  <c:v>3542.8004899999996</c:v>
                </c:pt>
                <c:pt idx="322">
                  <c:v>3649.2633753750006</c:v>
                </c:pt>
                <c:pt idx="323">
                  <c:v>3649.2633753750006</c:v>
                </c:pt>
                <c:pt idx="324">
                  <c:v>3649.2633753750006</c:v>
                </c:pt>
                <c:pt idx="325">
                  <c:v>3649.2633753750006</c:v>
                </c:pt>
                <c:pt idx="326">
                  <c:v>3642.5414003750002</c:v>
                </c:pt>
                <c:pt idx="327">
                  <c:v>3615.1463691250005</c:v>
                </c:pt>
                <c:pt idx="328">
                  <c:v>3449.4270107499997</c:v>
                </c:pt>
                <c:pt idx="329">
                  <c:v>3810.7501091250001</c:v>
                </c:pt>
                <c:pt idx="330">
                  <c:v>3802.5713984999998</c:v>
                </c:pt>
                <c:pt idx="331">
                  <c:v>4321.8733350000002</c:v>
                </c:pt>
                <c:pt idx="332">
                  <c:v>4831.3218705000008</c:v>
                </c:pt>
                <c:pt idx="333">
                  <c:v>5041.2967174999994</c:v>
                </c:pt>
                <c:pt idx="334">
                  <c:v>3732.5767502500003</c:v>
                </c:pt>
                <c:pt idx="335">
                  <c:v>3725.8421002499999</c:v>
                </c:pt>
                <c:pt idx="336">
                  <c:v>3725.8421002499999</c:v>
                </c:pt>
                <c:pt idx="337">
                  <c:v>3923.4745887499998</c:v>
                </c:pt>
                <c:pt idx="338">
                  <c:v>3923.4745887499998</c:v>
                </c:pt>
                <c:pt idx="339">
                  <c:v>3732.5767502500003</c:v>
                </c:pt>
                <c:pt idx="340">
                  <c:v>4283.7819502499997</c:v>
                </c:pt>
                <c:pt idx="341">
                  <c:v>4277.0473002500003</c:v>
                </c:pt>
                <c:pt idx="342">
                  <c:v>3461.49618375</c:v>
                </c:pt>
                <c:pt idx="343">
                  <c:v>3713.4264000000007</c:v>
                </c:pt>
                <c:pt idx="344">
                  <c:v>3603.0609573750003</c:v>
                </c:pt>
                <c:pt idx="345">
                  <c:v>3681.37216975</c:v>
                </c:pt>
                <c:pt idx="346">
                  <c:v>5235.4076429999996</c:v>
                </c:pt>
                <c:pt idx="347">
                  <c:v>4618.0957214999999</c:v>
                </c:pt>
                <c:pt idx="348">
                  <c:v>4618.0957214999999</c:v>
                </c:pt>
                <c:pt idx="349">
                  <c:v>4005.9637120000002</c:v>
                </c:pt>
                <c:pt idx="350">
                  <c:v>4005.9637120000002</c:v>
                </c:pt>
                <c:pt idx="351">
                  <c:v>4005.9637120000002</c:v>
                </c:pt>
                <c:pt idx="352">
                  <c:v>4500.5112950000002</c:v>
                </c:pt>
                <c:pt idx="353">
                  <c:v>4500.5112950000002</c:v>
                </c:pt>
                <c:pt idx="354">
                  <c:v>5073.6878499999993</c:v>
                </c:pt>
                <c:pt idx="355">
                  <c:v>5851.6200000000008</c:v>
                </c:pt>
                <c:pt idx="356">
                  <c:v>7270.2591000000011</c:v>
                </c:pt>
                <c:pt idx="357">
                  <c:v>7279.2028500000006</c:v>
                </c:pt>
                <c:pt idx="358">
                  <c:v>4649.0551855000003</c:v>
                </c:pt>
                <c:pt idx="359">
                  <c:v>4997.0828700000002</c:v>
                </c:pt>
                <c:pt idx="360">
                  <c:v>4067.0147400000001</c:v>
                </c:pt>
                <c:pt idx="361">
                  <c:v>4200.96739875</c:v>
                </c:pt>
                <c:pt idx="362">
                  <c:v>5334.9670849999993</c:v>
                </c:pt>
                <c:pt idx="363">
                  <c:v>5462.3227512499998</c:v>
                </c:pt>
                <c:pt idx="364">
                  <c:v>3619.3060225000004</c:v>
                </c:pt>
                <c:pt idx="365">
                  <c:v>5136.9856475000006</c:v>
                </c:pt>
                <c:pt idx="366">
                  <c:v>5136.9856475000006</c:v>
                </c:pt>
                <c:pt idx="367">
                  <c:v>2458.9278859999999</c:v>
                </c:pt>
                <c:pt idx="368">
                  <c:v>2126.2372198749999</c:v>
                </c:pt>
                <c:pt idx="369">
                  <c:v>2836.9371000000001</c:v>
                </c:pt>
                <c:pt idx="370">
                  <c:v>3186.1706079999999</c:v>
                </c:pt>
                <c:pt idx="371">
                  <c:v>3239.4517319999995</c:v>
                </c:pt>
                <c:pt idx="372">
                  <c:v>3506.7717860000002</c:v>
                </c:pt>
                <c:pt idx="373">
                  <c:v>3348.990198</c:v>
                </c:pt>
                <c:pt idx="374">
                  <c:v>3408.7357200000001</c:v>
                </c:pt>
                <c:pt idx="375">
                  <c:v>3866.6425200000003</c:v>
                </c:pt>
                <c:pt idx="376">
                  <c:v>3922.8025200000002</c:v>
                </c:pt>
                <c:pt idx="377">
                  <c:v>4505.3130000000001</c:v>
                </c:pt>
                <c:pt idx="378">
                  <c:v>6068.9321090000003</c:v>
                </c:pt>
                <c:pt idx="379">
                  <c:v>2485.2996740000003</c:v>
                </c:pt>
                <c:pt idx="380">
                  <c:v>2485.2996740000003</c:v>
                </c:pt>
                <c:pt idx="381">
                  <c:v>2485.2996740000003</c:v>
                </c:pt>
                <c:pt idx="382">
                  <c:v>2485.2996740000003</c:v>
                </c:pt>
                <c:pt idx="383">
                  <c:v>2543.1737239999998</c:v>
                </c:pt>
                <c:pt idx="384">
                  <c:v>2543.1737239999998</c:v>
                </c:pt>
                <c:pt idx="385">
                  <c:v>2543.1737239999998</c:v>
                </c:pt>
                <c:pt idx="386">
                  <c:v>2543.1737239999998</c:v>
                </c:pt>
                <c:pt idx="387">
                  <c:v>2527.9092299999998</c:v>
                </c:pt>
                <c:pt idx="388">
                  <c:v>2279.9244560000002</c:v>
                </c:pt>
                <c:pt idx="389">
                  <c:v>2279.9244560000002</c:v>
                </c:pt>
                <c:pt idx="390">
                  <c:v>2279.9244560000002</c:v>
                </c:pt>
                <c:pt idx="391">
                  <c:v>2388.8476000000001</c:v>
                </c:pt>
                <c:pt idx="392">
                  <c:v>2388.8476000000001</c:v>
                </c:pt>
                <c:pt idx="393">
                  <c:v>2388.8476000000001</c:v>
                </c:pt>
                <c:pt idx="394">
                  <c:v>2379.6793500000003</c:v>
                </c:pt>
                <c:pt idx="395">
                  <c:v>2404.2595200000001</c:v>
                </c:pt>
                <c:pt idx="396">
                  <c:v>2390.43597</c:v>
                </c:pt>
                <c:pt idx="397">
                  <c:v>2469.9565799999996</c:v>
                </c:pt>
                <c:pt idx="398">
                  <c:v>2549.0797799999996</c:v>
                </c:pt>
                <c:pt idx="399">
                  <c:v>2549.0797799999996</c:v>
                </c:pt>
                <c:pt idx="400">
                  <c:v>3324.2110199999997</c:v>
                </c:pt>
                <c:pt idx="401">
                  <c:v>3324.2110199999997</c:v>
                </c:pt>
                <c:pt idx="402">
                  <c:v>2398.1603799999998</c:v>
                </c:pt>
                <c:pt idx="403">
                  <c:v>2523.11598</c:v>
                </c:pt>
                <c:pt idx="404">
                  <c:v>2516.3992699999999</c:v>
                </c:pt>
                <c:pt idx="405">
                  <c:v>3047.7595200000005</c:v>
                </c:pt>
                <c:pt idx="406">
                  <c:v>3047.7595200000005</c:v>
                </c:pt>
                <c:pt idx="407">
                  <c:v>3047.7595200000005</c:v>
                </c:pt>
                <c:pt idx="408">
                  <c:v>3302.23452</c:v>
                </c:pt>
                <c:pt idx="409">
                  <c:v>3302.23452</c:v>
                </c:pt>
                <c:pt idx="410">
                  <c:v>3302.23452</c:v>
                </c:pt>
                <c:pt idx="411">
                  <c:v>3302.23452</c:v>
                </c:pt>
                <c:pt idx="412">
                  <c:v>3302.23452</c:v>
                </c:pt>
                <c:pt idx="413">
                  <c:v>3302.23452</c:v>
                </c:pt>
                <c:pt idx="414">
                  <c:v>3905.3908862500002</c:v>
                </c:pt>
                <c:pt idx="415">
                  <c:v>2918.4387706250009</c:v>
                </c:pt>
                <c:pt idx="416">
                  <c:v>3189.8216137500008</c:v>
                </c:pt>
                <c:pt idx="417">
                  <c:v>3202.0431525000008</c:v>
                </c:pt>
                <c:pt idx="418">
                  <c:v>3189.8216137500008</c:v>
                </c:pt>
                <c:pt idx="419">
                  <c:v>3189.1751812500002</c:v>
                </c:pt>
                <c:pt idx="420">
                  <c:v>3189.1751812500002</c:v>
                </c:pt>
                <c:pt idx="421">
                  <c:v>3189.1751812500002</c:v>
                </c:pt>
                <c:pt idx="422">
                  <c:v>3189.1751812500002</c:v>
                </c:pt>
                <c:pt idx="423">
                  <c:v>3189.1751812500002</c:v>
                </c:pt>
                <c:pt idx="424">
                  <c:v>3189.1751812500002</c:v>
                </c:pt>
                <c:pt idx="425">
                  <c:v>2891.4968520000007</c:v>
                </c:pt>
                <c:pt idx="426">
                  <c:v>2891.4968520000007</c:v>
                </c:pt>
                <c:pt idx="427">
                  <c:v>2891.4968520000007</c:v>
                </c:pt>
                <c:pt idx="428">
                  <c:v>2891.4968520000007</c:v>
                </c:pt>
                <c:pt idx="429">
                  <c:v>2891.4968520000007</c:v>
                </c:pt>
                <c:pt idx="430">
                  <c:v>2891.4968520000007</c:v>
                </c:pt>
                <c:pt idx="431">
                  <c:v>2891.4968520000007</c:v>
                </c:pt>
                <c:pt idx="432">
                  <c:v>3165.5077019999999</c:v>
                </c:pt>
                <c:pt idx="433">
                  <c:v>3165.5077019999999</c:v>
                </c:pt>
                <c:pt idx="434">
                  <c:v>3165.5077019999999</c:v>
                </c:pt>
                <c:pt idx="435">
                  <c:v>3165.5077019999999</c:v>
                </c:pt>
                <c:pt idx="436">
                  <c:v>3165.5077019999999</c:v>
                </c:pt>
                <c:pt idx="437">
                  <c:v>3165.5077019999999</c:v>
                </c:pt>
                <c:pt idx="438">
                  <c:v>3165.5077019999999</c:v>
                </c:pt>
                <c:pt idx="439">
                  <c:v>3149.2798160000002</c:v>
                </c:pt>
                <c:pt idx="440">
                  <c:v>3589.2494470000001</c:v>
                </c:pt>
                <c:pt idx="441">
                  <c:v>3416.392112</c:v>
                </c:pt>
                <c:pt idx="442">
                  <c:v>3416.392112</c:v>
                </c:pt>
                <c:pt idx="443">
                  <c:v>2957.9622625000006</c:v>
                </c:pt>
                <c:pt idx="444">
                  <c:v>2957.9622625000006</c:v>
                </c:pt>
                <c:pt idx="445">
                  <c:v>2957.9622625000006</c:v>
                </c:pt>
                <c:pt idx="446">
                  <c:v>2957.9622625000006</c:v>
                </c:pt>
                <c:pt idx="447">
                  <c:v>2957.9622625000006</c:v>
                </c:pt>
                <c:pt idx="448">
                  <c:v>2957.9622625000006</c:v>
                </c:pt>
                <c:pt idx="449">
                  <c:v>2957.9622625000006</c:v>
                </c:pt>
                <c:pt idx="450">
                  <c:v>2314.1066000000001</c:v>
                </c:pt>
                <c:pt idx="451">
                  <c:v>2314.1066000000001</c:v>
                </c:pt>
                <c:pt idx="452">
                  <c:v>2347.0848252500004</c:v>
                </c:pt>
                <c:pt idx="453">
                  <c:v>2347.0848252500004</c:v>
                </c:pt>
                <c:pt idx="454">
                  <c:v>2985.6246418749997</c:v>
                </c:pt>
                <c:pt idx="455">
                  <c:v>2985.6246418749997</c:v>
                </c:pt>
                <c:pt idx="456">
                  <c:v>2985.6246418749997</c:v>
                </c:pt>
                <c:pt idx="457">
                  <c:v>2695.9347819999998</c:v>
                </c:pt>
                <c:pt idx="458">
                  <c:v>2695.9347819999998</c:v>
                </c:pt>
                <c:pt idx="459">
                  <c:v>2695.9347819999998</c:v>
                </c:pt>
                <c:pt idx="460">
                  <c:v>2695.9347819999998</c:v>
                </c:pt>
                <c:pt idx="461">
                  <c:v>2695.9347819999998</c:v>
                </c:pt>
                <c:pt idx="462">
                  <c:v>2695.9347819999998</c:v>
                </c:pt>
                <c:pt idx="463">
                  <c:v>3235.2013980000002</c:v>
                </c:pt>
                <c:pt idx="464">
                  <c:v>882.35558399999991</c:v>
                </c:pt>
                <c:pt idx="465">
                  <c:v>1531.86644325</c:v>
                </c:pt>
                <c:pt idx="466">
                  <c:v>1759.9904000000001</c:v>
                </c:pt>
                <c:pt idx="467">
                  <c:v>825.24278549999985</c:v>
                </c:pt>
                <c:pt idx="468">
                  <c:v>645.74587725000004</c:v>
                </c:pt>
                <c:pt idx="469">
                  <c:v>2859.3519832499996</c:v>
                </c:pt>
                <c:pt idx="470">
                  <c:v>1880.2944562499999</c:v>
                </c:pt>
                <c:pt idx="471">
                  <c:v>1746.2634705</c:v>
                </c:pt>
                <c:pt idx="472">
                  <c:v>2890.5337575000008</c:v>
                </c:pt>
                <c:pt idx="473">
                  <c:v>3049.0848850000002</c:v>
                </c:pt>
                <c:pt idx="474">
                  <c:v>3071.2127599999999</c:v>
                </c:pt>
                <c:pt idx="475">
                  <c:v>3606.2376350000004</c:v>
                </c:pt>
                <c:pt idx="476">
                  <c:v>3719.177385</c:v>
                </c:pt>
                <c:pt idx="477">
                  <c:v>1467.6573907500001</c:v>
                </c:pt>
                <c:pt idx="478">
                  <c:v>1558.7088577500001</c:v>
                </c:pt>
                <c:pt idx="479">
                  <c:v>1964.4488955000002</c:v>
                </c:pt>
                <c:pt idx="480">
                  <c:v>1667.5962582500001</c:v>
                </c:pt>
                <c:pt idx="481">
                  <c:v>2543.2364822500003</c:v>
                </c:pt>
                <c:pt idx="482">
                  <c:v>3646.747903</c:v>
                </c:pt>
                <c:pt idx="483">
                  <c:v>3556.7550567500002</c:v>
                </c:pt>
                <c:pt idx="484">
                  <c:v>3934.5450882499999</c:v>
                </c:pt>
                <c:pt idx="485">
                  <c:v>6390.6305592500003</c:v>
                </c:pt>
                <c:pt idx="486">
                  <c:v>5169.5409570000002</c:v>
                </c:pt>
                <c:pt idx="487">
                  <c:v>5356.7372794999992</c:v>
                </c:pt>
                <c:pt idx="488">
                  <c:v>6703.6760837499996</c:v>
                </c:pt>
                <c:pt idx="489">
                  <c:v>479.18338324999996</c:v>
                </c:pt>
                <c:pt idx="490">
                  <c:v>479.18338324999996</c:v>
                </c:pt>
                <c:pt idx="491">
                  <c:v>479.18338324999996</c:v>
                </c:pt>
                <c:pt idx="492">
                  <c:v>532.04404824999995</c:v>
                </c:pt>
                <c:pt idx="493">
                  <c:v>532.04404824999995</c:v>
                </c:pt>
                <c:pt idx="494">
                  <c:v>532.04404824999995</c:v>
                </c:pt>
                <c:pt idx="495">
                  <c:v>574.95890024999994</c:v>
                </c:pt>
                <c:pt idx="496">
                  <c:v>453.74922075000001</c:v>
                </c:pt>
                <c:pt idx="497">
                  <c:v>634.16457224999999</c:v>
                </c:pt>
                <c:pt idx="498">
                  <c:v>969.48285525000006</c:v>
                </c:pt>
                <c:pt idx="499">
                  <c:v>301.21524300000004</c:v>
                </c:pt>
                <c:pt idx="500">
                  <c:v>586.53669250000007</c:v>
                </c:pt>
                <c:pt idx="501">
                  <c:v>199.50814250000002</c:v>
                </c:pt>
                <c:pt idx="502">
                  <c:v>162.56994</c:v>
                </c:pt>
                <c:pt idx="503">
                  <c:v>1035.7955400000001</c:v>
                </c:pt>
                <c:pt idx="504">
                  <c:v>467.37638999999996</c:v>
                </c:pt>
                <c:pt idx="505">
                  <c:v>357.09689250000002</c:v>
                </c:pt>
                <c:pt idx="506">
                  <c:v>6764.2861400000002</c:v>
                </c:pt>
                <c:pt idx="507">
                  <c:v>7139.7650885000003</c:v>
                </c:pt>
                <c:pt idx="508">
                  <c:v>7146.5847149999991</c:v>
                </c:pt>
                <c:pt idx="509">
                  <c:v>8361.6470279999994</c:v>
                </c:pt>
                <c:pt idx="510">
                  <c:v>9657.7832065000002</c:v>
                </c:pt>
                <c:pt idx="511">
                  <c:v>11267.411569999997</c:v>
                </c:pt>
                <c:pt idx="512">
                  <c:v>7106.0640629999998</c:v>
                </c:pt>
                <c:pt idx="513">
                  <c:v>398.96767349999999</c:v>
                </c:pt>
                <c:pt idx="514">
                  <c:v>433.48838649999999</c:v>
                </c:pt>
                <c:pt idx="515">
                  <c:v>474.32194774999999</c:v>
                </c:pt>
              </c:numCache>
            </c:numRef>
          </c:xVal>
          <c:yVal>
            <c:numRef>
              <c:f>[2]Foglio3!$G$3:$G$518</c:f>
              <c:numCache>
                <c:formatCode>General</c:formatCode>
                <c:ptCount val="516"/>
                <c:pt idx="0">
                  <c:v>12787.5</c:v>
                </c:pt>
                <c:pt idx="1">
                  <c:v>2621.25</c:v>
                </c:pt>
                <c:pt idx="2">
                  <c:v>11700</c:v>
                </c:pt>
                <c:pt idx="3">
                  <c:v>4653.75</c:v>
                </c:pt>
                <c:pt idx="4">
                  <c:v>2681.25</c:v>
                </c:pt>
                <c:pt idx="5">
                  <c:v>12937.5</c:v>
                </c:pt>
                <c:pt idx="6">
                  <c:v>14287.5</c:v>
                </c:pt>
                <c:pt idx="7">
                  <c:v>2831.25</c:v>
                </c:pt>
                <c:pt idx="8">
                  <c:v>3753.75</c:v>
                </c:pt>
                <c:pt idx="9">
                  <c:v>3750</c:v>
                </c:pt>
                <c:pt idx="10">
                  <c:v>5355</c:v>
                </c:pt>
                <c:pt idx="11">
                  <c:v>9075</c:v>
                </c:pt>
                <c:pt idx="12">
                  <c:v>4185</c:v>
                </c:pt>
                <c:pt idx="13">
                  <c:v>6528.75</c:v>
                </c:pt>
                <c:pt idx="14">
                  <c:v>3187.5</c:v>
                </c:pt>
                <c:pt idx="15">
                  <c:v>4500</c:v>
                </c:pt>
                <c:pt idx="16">
                  <c:v>5700</c:v>
                </c:pt>
                <c:pt idx="17">
                  <c:v>5737.5</c:v>
                </c:pt>
                <c:pt idx="18">
                  <c:v>5475</c:v>
                </c:pt>
                <c:pt idx="19">
                  <c:v>4912.5</c:v>
                </c:pt>
                <c:pt idx="20">
                  <c:v>3150</c:v>
                </c:pt>
                <c:pt idx="21">
                  <c:v>12450</c:v>
                </c:pt>
                <c:pt idx="22">
                  <c:v>10912.5</c:v>
                </c:pt>
                <c:pt idx="23">
                  <c:v>8812.5</c:v>
                </c:pt>
                <c:pt idx="24">
                  <c:v>6637.5</c:v>
                </c:pt>
                <c:pt idx="25">
                  <c:v>5175</c:v>
                </c:pt>
                <c:pt idx="26">
                  <c:v>2700</c:v>
                </c:pt>
                <c:pt idx="27">
                  <c:v>3813.75</c:v>
                </c:pt>
                <c:pt idx="28">
                  <c:v>6862.5</c:v>
                </c:pt>
                <c:pt idx="29">
                  <c:v>10987.5</c:v>
                </c:pt>
                <c:pt idx="30">
                  <c:v>10350</c:v>
                </c:pt>
                <c:pt idx="31">
                  <c:v>8962.5</c:v>
                </c:pt>
                <c:pt idx="32">
                  <c:v>6937.5</c:v>
                </c:pt>
                <c:pt idx="33">
                  <c:v>5268.75</c:v>
                </c:pt>
                <c:pt idx="34">
                  <c:v>4008.75</c:v>
                </c:pt>
                <c:pt idx="35">
                  <c:v>7125</c:v>
                </c:pt>
                <c:pt idx="36">
                  <c:v>3112.5</c:v>
                </c:pt>
                <c:pt idx="37">
                  <c:v>4912.5</c:v>
                </c:pt>
                <c:pt idx="38">
                  <c:v>12337.5</c:v>
                </c:pt>
                <c:pt idx="39">
                  <c:v>10762.5</c:v>
                </c:pt>
                <c:pt idx="40">
                  <c:v>8550</c:v>
                </c:pt>
                <c:pt idx="41">
                  <c:v>6262.5</c:v>
                </c:pt>
                <c:pt idx="42">
                  <c:v>4912.5</c:v>
                </c:pt>
                <c:pt idx="43">
                  <c:v>2850</c:v>
                </c:pt>
                <c:pt idx="44">
                  <c:v>5512.5</c:v>
                </c:pt>
                <c:pt idx="45">
                  <c:v>13125</c:v>
                </c:pt>
                <c:pt idx="46">
                  <c:v>11925</c:v>
                </c:pt>
                <c:pt idx="47">
                  <c:v>10350</c:v>
                </c:pt>
                <c:pt idx="48">
                  <c:v>8306.25</c:v>
                </c:pt>
                <c:pt idx="49">
                  <c:v>6300</c:v>
                </c:pt>
                <c:pt idx="50">
                  <c:v>12525</c:v>
                </c:pt>
                <c:pt idx="51">
                  <c:v>12000</c:v>
                </c:pt>
                <c:pt idx="52">
                  <c:v>3187.5</c:v>
                </c:pt>
                <c:pt idx="53">
                  <c:v>3487.5</c:v>
                </c:pt>
                <c:pt idx="54">
                  <c:v>10087.5</c:v>
                </c:pt>
                <c:pt idx="55">
                  <c:v>10350</c:v>
                </c:pt>
                <c:pt idx="56">
                  <c:v>3543.75</c:v>
                </c:pt>
                <c:pt idx="57">
                  <c:v>6450</c:v>
                </c:pt>
                <c:pt idx="58">
                  <c:v>12600</c:v>
                </c:pt>
                <c:pt idx="59">
                  <c:v>11925</c:v>
                </c:pt>
                <c:pt idx="60">
                  <c:v>10237.5</c:v>
                </c:pt>
                <c:pt idx="61">
                  <c:v>8081.25</c:v>
                </c:pt>
                <c:pt idx="62">
                  <c:v>6412.5</c:v>
                </c:pt>
                <c:pt idx="63">
                  <c:v>11812.5</c:v>
                </c:pt>
                <c:pt idx="64">
                  <c:v>10350</c:v>
                </c:pt>
                <c:pt idx="65">
                  <c:v>2793.75</c:v>
                </c:pt>
                <c:pt idx="66">
                  <c:v>2756.25</c:v>
                </c:pt>
                <c:pt idx="67">
                  <c:v>3468.75</c:v>
                </c:pt>
                <c:pt idx="68">
                  <c:v>3637.5</c:v>
                </c:pt>
                <c:pt idx="69">
                  <c:v>10575</c:v>
                </c:pt>
                <c:pt idx="70">
                  <c:v>8700</c:v>
                </c:pt>
                <c:pt idx="71">
                  <c:v>6975</c:v>
                </c:pt>
                <c:pt idx="72">
                  <c:v>5737.5</c:v>
                </c:pt>
                <c:pt idx="73">
                  <c:v>4912.5</c:v>
                </c:pt>
                <c:pt idx="74">
                  <c:v>12150</c:v>
                </c:pt>
                <c:pt idx="75">
                  <c:v>9375</c:v>
                </c:pt>
                <c:pt idx="76">
                  <c:v>7350</c:v>
                </c:pt>
                <c:pt idx="77">
                  <c:v>5943.75</c:v>
                </c:pt>
                <c:pt idx="78">
                  <c:v>13312.5</c:v>
                </c:pt>
                <c:pt idx="79">
                  <c:v>10387.5</c:v>
                </c:pt>
                <c:pt idx="80">
                  <c:v>7500</c:v>
                </c:pt>
                <c:pt idx="81">
                  <c:v>5850</c:v>
                </c:pt>
                <c:pt idx="82">
                  <c:v>11400</c:v>
                </c:pt>
                <c:pt idx="83">
                  <c:v>10575</c:v>
                </c:pt>
                <c:pt idx="84">
                  <c:v>9075</c:v>
                </c:pt>
                <c:pt idx="85">
                  <c:v>7050</c:v>
                </c:pt>
                <c:pt idx="86">
                  <c:v>5175</c:v>
                </c:pt>
                <c:pt idx="87">
                  <c:v>2193.75</c:v>
                </c:pt>
                <c:pt idx="88">
                  <c:v>3543.75</c:v>
                </c:pt>
                <c:pt idx="89">
                  <c:v>12337.5</c:v>
                </c:pt>
                <c:pt idx="90">
                  <c:v>10875</c:v>
                </c:pt>
                <c:pt idx="91">
                  <c:v>8812.5</c:v>
                </c:pt>
                <c:pt idx="92">
                  <c:v>6468.75</c:v>
                </c:pt>
                <c:pt idx="93">
                  <c:v>4968.75</c:v>
                </c:pt>
                <c:pt idx="94">
                  <c:v>2681.25</c:v>
                </c:pt>
                <c:pt idx="95">
                  <c:v>3975</c:v>
                </c:pt>
                <c:pt idx="96">
                  <c:v>12975</c:v>
                </c:pt>
                <c:pt idx="97">
                  <c:v>12075</c:v>
                </c:pt>
                <c:pt idx="98">
                  <c:v>10200</c:v>
                </c:pt>
                <c:pt idx="99">
                  <c:v>7743.75</c:v>
                </c:pt>
                <c:pt idx="100">
                  <c:v>6056.25</c:v>
                </c:pt>
                <c:pt idx="101">
                  <c:v>2062.5</c:v>
                </c:pt>
                <c:pt idx="102">
                  <c:v>3993.75</c:v>
                </c:pt>
                <c:pt idx="103">
                  <c:v>13462.5</c:v>
                </c:pt>
                <c:pt idx="104">
                  <c:v>13312.5</c:v>
                </c:pt>
                <c:pt idx="105">
                  <c:v>10987.5</c:v>
                </c:pt>
                <c:pt idx="106">
                  <c:v>7818.75</c:v>
                </c:pt>
                <c:pt idx="107">
                  <c:v>6000</c:v>
                </c:pt>
                <c:pt idx="108">
                  <c:v>3093.75</c:v>
                </c:pt>
                <c:pt idx="109">
                  <c:v>4612.5</c:v>
                </c:pt>
                <c:pt idx="110">
                  <c:v>12000</c:v>
                </c:pt>
                <c:pt idx="111">
                  <c:v>11812.5</c:v>
                </c:pt>
                <c:pt idx="112">
                  <c:v>10012.5</c:v>
                </c:pt>
                <c:pt idx="113">
                  <c:v>8025</c:v>
                </c:pt>
                <c:pt idx="114">
                  <c:v>6300</c:v>
                </c:pt>
                <c:pt idx="115">
                  <c:v>12937.5</c:v>
                </c:pt>
                <c:pt idx="116">
                  <c:v>11775</c:v>
                </c:pt>
                <c:pt idx="117">
                  <c:v>9825</c:v>
                </c:pt>
                <c:pt idx="118">
                  <c:v>7725</c:v>
                </c:pt>
                <c:pt idx="119">
                  <c:v>5943.75</c:v>
                </c:pt>
                <c:pt idx="120">
                  <c:v>2793.75</c:v>
                </c:pt>
                <c:pt idx="121">
                  <c:v>3813.75</c:v>
                </c:pt>
                <c:pt idx="122">
                  <c:v>11287.5</c:v>
                </c:pt>
                <c:pt idx="123">
                  <c:v>10462.5</c:v>
                </c:pt>
                <c:pt idx="124">
                  <c:v>8812.5</c:v>
                </c:pt>
                <c:pt idx="125">
                  <c:v>6731.25</c:v>
                </c:pt>
                <c:pt idx="126">
                  <c:v>5175</c:v>
                </c:pt>
                <c:pt idx="127">
                  <c:v>5448.75</c:v>
                </c:pt>
                <c:pt idx="128">
                  <c:v>12525</c:v>
                </c:pt>
                <c:pt idx="129">
                  <c:v>11362.5</c:v>
                </c:pt>
                <c:pt idx="130">
                  <c:v>9750</c:v>
                </c:pt>
                <c:pt idx="131">
                  <c:v>7743.75</c:v>
                </c:pt>
                <c:pt idx="132">
                  <c:v>6000</c:v>
                </c:pt>
                <c:pt idx="133">
                  <c:v>2793.75</c:v>
                </c:pt>
                <c:pt idx="134">
                  <c:v>5156.25</c:v>
                </c:pt>
                <c:pt idx="135">
                  <c:v>12562.5</c:v>
                </c:pt>
                <c:pt idx="136">
                  <c:v>11662.5</c:v>
                </c:pt>
                <c:pt idx="137">
                  <c:v>9937.5</c:v>
                </c:pt>
                <c:pt idx="138">
                  <c:v>7893.75</c:v>
                </c:pt>
                <c:pt idx="139">
                  <c:v>6206.25</c:v>
                </c:pt>
                <c:pt idx="140">
                  <c:v>11662.5</c:v>
                </c:pt>
                <c:pt idx="141">
                  <c:v>9112.5</c:v>
                </c:pt>
                <c:pt idx="142">
                  <c:v>7143.75</c:v>
                </c:pt>
                <c:pt idx="143">
                  <c:v>12375</c:v>
                </c:pt>
                <c:pt idx="144">
                  <c:v>11662.5</c:v>
                </c:pt>
                <c:pt idx="145">
                  <c:v>9900</c:v>
                </c:pt>
                <c:pt idx="146">
                  <c:v>7743.75</c:v>
                </c:pt>
                <c:pt idx="147">
                  <c:v>6581.25</c:v>
                </c:pt>
                <c:pt idx="148">
                  <c:v>3112.5</c:v>
                </c:pt>
                <c:pt idx="149">
                  <c:v>4556.25</c:v>
                </c:pt>
                <c:pt idx="150">
                  <c:v>12412.5</c:v>
                </c:pt>
                <c:pt idx="151">
                  <c:v>11662.5</c:v>
                </c:pt>
                <c:pt idx="152">
                  <c:v>10275</c:v>
                </c:pt>
                <c:pt idx="153">
                  <c:v>8550</c:v>
                </c:pt>
                <c:pt idx="154">
                  <c:v>6768.75</c:v>
                </c:pt>
                <c:pt idx="155">
                  <c:v>3656.25</c:v>
                </c:pt>
                <c:pt idx="156">
                  <c:v>4350</c:v>
                </c:pt>
                <c:pt idx="157">
                  <c:v>15375</c:v>
                </c:pt>
                <c:pt idx="158">
                  <c:v>13462.5</c:v>
                </c:pt>
                <c:pt idx="159">
                  <c:v>11175</c:v>
                </c:pt>
                <c:pt idx="160">
                  <c:v>8287.5</c:v>
                </c:pt>
                <c:pt idx="161">
                  <c:v>6093.75</c:v>
                </c:pt>
                <c:pt idx="162">
                  <c:v>11287.5</c:v>
                </c:pt>
                <c:pt idx="163">
                  <c:v>8512.5</c:v>
                </c:pt>
                <c:pt idx="164">
                  <c:v>6093.75</c:v>
                </c:pt>
                <c:pt idx="165">
                  <c:v>3300</c:v>
                </c:pt>
                <c:pt idx="166">
                  <c:v>4275</c:v>
                </c:pt>
                <c:pt idx="167">
                  <c:v>11662.5</c:v>
                </c:pt>
                <c:pt idx="168">
                  <c:v>10687.5</c:v>
                </c:pt>
                <c:pt idx="169">
                  <c:v>9075</c:v>
                </c:pt>
                <c:pt idx="170">
                  <c:v>6993.75</c:v>
                </c:pt>
                <c:pt idx="171">
                  <c:v>5418.75</c:v>
                </c:pt>
                <c:pt idx="172">
                  <c:v>10087.5</c:v>
                </c:pt>
                <c:pt idx="173">
                  <c:v>7687.5</c:v>
                </c:pt>
                <c:pt idx="174">
                  <c:v>11400</c:v>
                </c:pt>
                <c:pt idx="175">
                  <c:v>9412.5</c:v>
                </c:pt>
                <c:pt idx="176">
                  <c:v>10087.5</c:v>
                </c:pt>
                <c:pt idx="177">
                  <c:v>3412.5</c:v>
                </c:pt>
                <c:pt idx="178">
                  <c:v>1758.75</c:v>
                </c:pt>
                <c:pt idx="179">
                  <c:v>2328.75</c:v>
                </c:pt>
                <c:pt idx="180">
                  <c:v>2070</c:v>
                </c:pt>
                <c:pt idx="181">
                  <c:v>2621.25</c:v>
                </c:pt>
                <c:pt idx="182">
                  <c:v>2137.5</c:v>
                </c:pt>
                <c:pt idx="183">
                  <c:v>2343.75</c:v>
                </c:pt>
                <c:pt idx="184">
                  <c:v>2456.25</c:v>
                </c:pt>
                <c:pt idx="185">
                  <c:v>2212.5</c:v>
                </c:pt>
                <c:pt idx="186">
                  <c:v>2475</c:v>
                </c:pt>
                <c:pt idx="187">
                  <c:v>2475</c:v>
                </c:pt>
                <c:pt idx="188">
                  <c:v>2381.25</c:v>
                </c:pt>
                <c:pt idx="189">
                  <c:v>2681.25</c:v>
                </c:pt>
                <c:pt idx="190">
                  <c:v>2681.25</c:v>
                </c:pt>
                <c:pt idx="191">
                  <c:v>2100</c:v>
                </c:pt>
                <c:pt idx="192">
                  <c:v>2287.5</c:v>
                </c:pt>
                <c:pt idx="193">
                  <c:v>2268.75</c:v>
                </c:pt>
                <c:pt idx="194">
                  <c:v>2137.5</c:v>
                </c:pt>
                <c:pt idx="195">
                  <c:v>2381.25</c:v>
                </c:pt>
                <c:pt idx="196">
                  <c:v>2400</c:v>
                </c:pt>
                <c:pt idx="197">
                  <c:v>3221.25</c:v>
                </c:pt>
                <c:pt idx="198">
                  <c:v>2550</c:v>
                </c:pt>
                <c:pt idx="199">
                  <c:v>2587.5</c:v>
                </c:pt>
                <c:pt idx="200">
                  <c:v>2587.5</c:v>
                </c:pt>
                <c:pt idx="201">
                  <c:v>4856.25</c:v>
                </c:pt>
                <c:pt idx="202">
                  <c:v>4650</c:v>
                </c:pt>
                <c:pt idx="203">
                  <c:v>4350</c:v>
                </c:pt>
                <c:pt idx="204">
                  <c:v>3881.25</c:v>
                </c:pt>
                <c:pt idx="205">
                  <c:v>3318.75</c:v>
                </c:pt>
                <c:pt idx="206">
                  <c:v>2643.75</c:v>
                </c:pt>
                <c:pt idx="207">
                  <c:v>3131.25</c:v>
                </c:pt>
                <c:pt idx="208">
                  <c:v>2812.5</c:v>
                </c:pt>
                <c:pt idx="209">
                  <c:v>4443.75</c:v>
                </c:pt>
                <c:pt idx="210">
                  <c:v>4443.75</c:v>
                </c:pt>
                <c:pt idx="211">
                  <c:v>4143.75</c:v>
                </c:pt>
                <c:pt idx="212">
                  <c:v>3675</c:v>
                </c:pt>
                <c:pt idx="213">
                  <c:v>3243.75</c:v>
                </c:pt>
                <c:pt idx="214">
                  <c:v>4968.75</c:v>
                </c:pt>
                <c:pt idx="215">
                  <c:v>4856.25</c:v>
                </c:pt>
                <c:pt idx="216">
                  <c:v>4743.75</c:v>
                </c:pt>
                <c:pt idx="217">
                  <c:v>4443.75</c:v>
                </c:pt>
                <c:pt idx="218">
                  <c:v>3768.75</c:v>
                </c:pt>
                <c:pt idx="219">
                  <c:v>2737.5</c:v>
                </c:pt>
                <c:pt idx="220">
                  <c:v>3093.75</c:v>
                </c:pt>
                <c:pt idx="221">
                  <c:v>3206.25</c:v>
                </c:pt>
                <c:pt idx="222">
                  <c:v>5418.75</c:v>
                </c:pt>
                <c:pt idx="223">
                  <c:v>4893.75</c:v>
                </c:pt>
                <c:pt idx="224">
                  <c:v>4350</c:v>
                </c:pt>
                <c:pt idx="225">
                  <c:v>3525</c:v>
                </c:pt>
                <c:pt idx="226">
                  <c:v>6056.25</c:v>
                </c:pt>
                <c:pt idx="227">
                  <c:v>5943.75</c:v>
                </c:pt>
                <c:pt idx="228">
                  <c:v>5681.25</c:v>
                </c:pt>
                <c:pt idx="229">
                  <c:v>4912.5</c:v>
                </c:pt>
                <c:pt idx="230">
                  <c:v>4031.25</c:v>
                </c:pt>
                <c:pt idx="231">
                  <c:v>2793.75</c:v>
                </c:pt>
                <c:pt idx="232">
                  <c:v>3618.75</c:v>
                </c:pt>
                <c:pt idx="233">
                  <c:v>3150</c:v>
                </c:pt>
                <c:pt idx="234">
                  <c:v>5850</c:v>
                </c:pt>
                <c:pt idx="235">
                  <c:v>5850</c:v>
                </c:pt>
                <c:pt idx="236">
                  <c:v>5737.5</c:v>
                </c:pt>
                <c:pt idx="237">
                  <c:v>5025</c:v>
                </c:pt>
                <c:pt idx="238">
                  <c:v>3918.75</c:v>
                </c:pt>
                <c:pt idx="239">
                  <c:v>2812.5</c:v>
                </c:pt>
                <c:pt idx="240">
                  <c:v>4406.25</c:v>
                </c:pt>
                <c:pt idx="241">
                  <c:v>3937.5</c:v>
                </c:pt>
                <c:pt idx="242">
                  <c:v>7350</c:v>
                </c:pt>
                <c:pt idx="243">
                  <c:v>7350</c:v>
                </c:pt>
                <c:pt idx="244">
                  <c:v>7143.75</c:v>
                </c:pt>
                <c:pt idx="245">
                  <c:v>6056.25</c:v>
                </c:pt>
                <c:pt idx="246">
                  <c:v>4500</c:v>
                </c:pt>
                <c:pt idx="247">
                  <c:v>2568.75</c:v>
                </c:pt>
                <c:pt idx="248">
                  <c:v>2850</c:v>
                </c:pt>
                <c:pt idx="249">
                  <c:v>2962.5</c:v>
                </c:pt>
                <c:pt idx="250">
                  <c:v>7050</c:v>
                </c:pt>
                <c:pt idx="251">
                  <c:v>6318.75</c:v>
                </c:pt>
                <c:pt idx="252">
                  <c:v>5475</c:v>
                </c:pt>
                <c:pt idx="253">
                  <c:v>4556.25</c:v>
                </c:pt>
                <c:pt idx="254">
                  <c:v>3618.75</c:v>
                </c:pt>
                <c:pt idx="255">
                  <c:v>8775</c:v>
                </c:pt>
                <c:pt idx="256">
                  <c:v>8437.5</c:v>
                </c:pt>
                <c:pt idx="257">
                  <c:v>7406.25</c:v>
                </c:pt>
                <c:pt idx="258">
                  <c:v>5418.75</c:v>
                </c:pt>
                <c:pt idx="259">
                  <c:v>3993.75</c:v>
                </c:pt>
                <c:pt idx="260">
                  <c:v>2643.75</c:v>
                </c:pt>
                <c:pt idx="261">
                  <c:v>2681.25</c:v>
                </c:pt>
                <c:pt idx="262">
                  <c:v>3037.5</c:v>
                </c:pt>
                <c:pt idx="263">
                  <c:v>9112.5</c:v>
                </c:pt>
                <c:pt idx="264">
                  <c:v>9637.5</c:v>
                </c:pt>
                <c:pt idx="265">
                  <c:v>7743.75</c:v>
                </c:pt>
                <c:pt idx="266">
                  <c:v>5737.5</c:v>
                </c:pt>
                <c:pt idx="267">
                  <c:v>4443.75</c:v>
                </c:pt>
                <c:pt idx="268">
                  <c:v>2606.25</c:v>
                </c:pt>
                <c:pt idx="269">
                  <c:v>3168.75</c:v>
                </c:pt>
                <c:pt idx="270">
                  <c:v>3000</c:v>
                </c:pt>
                <c:pt idx="271">
                  <c:v>4706.25</c:v>
                </c:pt>
                <c:pt idx="272">
                  <c:v>4668.75</c:v>
                </c:pt>
                <c:pt idx="273">
                  <c:v>4593.75</c:v>
                </c:pt>
                <c:pt idx="274">
                  <c:v>4293.75</c:v>
                </c:pt>
                <c:pt idx="275">
                  <c:v>3768.75</c:v>
                </c:pt>
                <c:pt idx="276">
                  <c:v>3281.25</c:v>
                </c:pt>
                <c:pt idx="277">
                  <c:v>4181.25</c:v>
                </c:pt>
                <c:pt idx="278">
                  <c:v>11962.5</c:v>
                </c:pt>
                <c:pt idx="279">
                  <c:v>10687.5</c:v>
                </c:pt>
                <c:pt idx="280">
                  <c:v>8662.5</c:v>
                </c:pt>
                <c:pt idx="281">
                  <c:v>6206.25</c:v>
                </c:pt>
                <c:pt idx="282">
                  <c:v>4668.75</c:v>
                </c:pt>
                <c:pt idx="283">
                  <c:v>2325</c:v>
                </c:pt>
                <c:pt idx="284">
                  <c:v>3255</c:v>
                </c:pt>
                <c:pt idx="285">
                  <c:v>2175</c:v>
                </c:pt>
                <c:pt idx="286">
                  <c:v>2062.5</c:v>
                </c:pt>
                <c:pt idx="287">
                  <c:v>1875</c:v>
                </c:pt>
                <c:pt idx="288">
                  <c:v>1860</c:v>
                </c:pt>
                <c:pt idx="289">
                  <c:v>2175</c:v>
                </c:pt>
                <c:pt idx="290">
                  <c:v>1965</c:v>
                </c:pt>
                <c:pt idx="291">
                  <c:v>2325</c:v>
                </c:pt>
                <c:pt idx="292">
                  <c:v>2287.5</c:v>
                </c:pt>
                <c:pt idx="293">
                  <c:v>2610</c:v>
                </c:pt>
                <c:pt idx="294">
                  <c:v>2610</c:v>
                </c:pt>
                <c:pt idx="295">
                  <c:v>1965</c:v>
                </c:pt>
                <c:pt idx="296">
                  <c:v>1627.5</c:v>
                </c:pt>
                <c:pt idx="297">
                  <c:v>1627.5</c:v>
                </c:pt>
                <c:pt idx="298">
                  <c:v>6337.5</c:v>
                </c:pt>
                <c:pt idx="299">
                  <c:v>2400</c:v>
                </c:pt>
                <c:pt idx="300">
                  <c:v>4781.25</c:v>
                </c:pt>
                <c:pt idx="301">
                  <c:v>7106.25</c:v>
                </c:pt>
                <c:pt idx="302">
                  <c:v>2343.75</c:v>
                </c:pt>
                <c:pt idx="303">
                  <c:v>2332.5</c:v>
                </c:pt>
                <c:pt idx="304">
                  <c:v>2400</c:v>
                </c:pt>
                <c:pt idx="305">
                  <c:v>6337.5</c:v>
                </c:pt>
                <c:pt idx="306">
                  <c:v>4781.25</c:v>
                </c:pt>
                <c:pt idx="307">
                  <c:v>2437.5</c:v>
                </c:pt>
                <c:pt idx="308">
                  <c:v>2771.25</c:v>
                </c:pt>
                <c:pt idx="309">
                  <c:v>3562.5</c:v>
                </c:pt>
                <c:pt idx="310">
                  <c:v>5220</c:v>
                </c:pt>
                <c:pt idx="311">
                  <c:v>3877.5</c:v>
                </c:pt>
                <c:pt idx="312">
                  <c:v>6412.5</c:v>
                </c:pt>
                <c:pt idx="313">
                  <c:v>1650</c:v>
                </c:pt>
                <c:pt idx="314">
                  <c:v>7207.5</c:v>
                </c:pt>
                <c:pt idx="315">
                  <c:v>1650</c:v>
                </c:pt>
                <c:pt idx="316">
                  <c:v>1931.25</c:v>
                </c:pt>
                <c:pt idx="317">
                  <c:v>3093.75</c:v>
                </c:pt>
                <c:pt idx="318">
                  <c:v>4781.25</c:v>
                </c:pt>
                <c:pt idx="319">
                  <c:v>6225</c:v>
                </c:pt>
                <c:pt idx="320">
                  <c:v>1815</c:v>
                </c:pt>
                <c:pt idx="321">
                  <c:v>4338.75</c:v>
                </c:pt>
                <c:pt idx="322">
                  <c:v>5587.5</c:v>
                </c:pt>
                <c:pt idx="323">
                  <c:v>4518.75</c:v>
                </c:pt>
                <c:pt idx="324">
                  <c:v>3093.75</c:v>
                </c:pt>
                <c:pt idx="325">
                  <c:v>1931.25</c:v>
                </c:pt>
                <c:pt idx="326">
                  <c:v>1875</c:v>
                </c:pt>
                <c:pt idx="327">
                  <c:v>2100</c:v>
                </c:pt>
                <c:pt idx="328">
                  <c:v>1807.5</c:v>
                </c:pt>
                <c:pt idx="329">
                  <c:v>1931.25</c:v>
                </c:pt>
                <c:pt idx="330">
                  <c:v>1552.5</c:v>
                </c:pt>
                <c:pt idx="331">
                  <c:v>1931.25</c:v>
                </c:pt>
                <c:pt idx="332">
                  <c:v>1931.25</c:v>
                </c:pt>
                <c:pt idx="333">
                  <c:v>2587.5</c:v>
                </c:pt>
                <c:pt idx="334">
                  <c:v>1931.25</c:v>
                </c:pt>
                <c:pt idx="335">
                  <c:v>1800</c:v>
                </c:pt>
                <c:pt idx="336">
                  <c:v>2175</c:v>
                </c:pt>
                <c:pt idx="337">
                  <c:v>1642.5</c:v>
                </c:pt>
                <c:pt idx="338">
                  <c:v>6420</c:v>
                </c:pt>
                <c:pt idx="339">
                  <c:v>1837.5</c:v>
                </c:pt>
                <c:pt idx="340">
                  <c:v>1826.25</c:v>
                </c:pt>
                <c:pt idx="341">
                  <c:v>1713.75</c:v>
                </c:pt>
                <c:pt idx="342">
                  <c:v>1653.75</c:v>
                </c:pt>
                <c:pt idx="343">
                  <c:v>1837.5</c:v>
                </c:pt>
                <c:pt idx="344">
                  <c:v>1837.5</c:v>
                </c:pt>
                <c:pt idx="345">
                  <c:v>1560</c:v>
                </c:pt>
                <c:pt idx="346">
                  <c:v>2775</c:v>
                </c:pt>
                <c:pt idx="347">
                  <c:v>2988.75</c:v>
                </c:pt>
                <c:pt idx="348">
                  <c:v>9525</c:v>
                </c:pt>
                <c:pt idx="349">
                  <c:v>6517.5</c:v>
                </c:pt>
                <c:pt idx="350">
                  <c:v>10425</c:v>
                </c:pt>
                <c:pt idx="351">
                  <c:v>4395</c:v>
                </c:pt>
                <c:pt idx="352">
                  <c:v>3315</c:v>
                </c:pt>
                <c:pt idx="353">
                  <c:v>6352.5</c:v>
                </c:pt>
                <c:pt idx="354">
                  <c:v>4218.75</c:v>
                </c:pt>
                <c:pt idx="355">
                  <c:v>3412.5</c:v>
                </c:pt>
                <c:pt idx="356">
                  <c:v>3750</c:v>
                </c:pt>
                <c:pt idx="357">
                  <c:v>4526.25</c:v>
                </c:pt>
                <c:pt idx="358">
                  <c:v>3637.5</c:v>
                </c:pt>
                <c:pt idx="359">
                  <c:v>4125</c:v>
                </c:pt>
                <c:pt idx="360">
                  <c:v>4050</c:v>
                </c:pt>
                <c:pt idx="361">
                  <c:v>3993.75</c:v>
                </c:pt>
                <c:pt idx="362">
                  <c:v>4125</c:v>
                </c:pt>
                <c:pt idx="363">
                  <c:v>4050</c:v>
                </c:pt>
                <c:pt idx="364">
                  <c:v>3112.5</c:v>
                </c:pt>
                <c:pt idx="365">
                  <c:v>3221.25</c:v>
                </c:pt>
                <c:pt idx="366">
                  <c:v>3356.25</c:v>
                </c:pt>
                <c:pt idx="367">
                  <c:v>1668.75</c:v>
                </c:pt>
                <c:pt idx="368">
                  <c:v>1875</c:v>
                </c:pt>
                <c:pt idx="369">
                  <c:v>1931.25</c:v>
                </c:pt>
                <c:pt idx="370">
                  <c:v>2212.5</c:v>
                </c:pt>
                <c:pt idx="371">
                  <c:v>3375</c:v>
                </c:pt>
                <c:pt idx="372">
                  <c:v>2587.5</c:v>
                </c:pt>
                <c:pt idx="373">
                  <c:v>2437.5</c:v>
                </c:pt>
                <c:pt idx="374">
                  <c:v>2737.5</c:v>
                </c:pt>
                <c:pt idx="375">
                  <c:v>2325</c:v>
                </c:pt>
                <c:pt idx="376">
                  <c:v>2343.75</c:v>
                </c:pt>
                <c:pt idx="377">
                  <c:v>2343.75</c:v>
                </c:pt>
                <c:pt idx="378">
                  <c:v>3506.25</c:v>
                </c:pt>
                <c:pt idx="379">
                  <c:v>7781.25</c:v>
                </c:pt>
                <c:pt idx="380">
                  <c:v>5962.5</c:v>
                </c:pt>
                <c:pt idx="381">
                  <c:v>5175</c:v>
                </c:pt>
                <c:pt idx="382">
                  <c:v>3862.5</c:v>
                </c:pt>
                <c:pt idx="383">
                  <c:v>8550</c:v>
                </c:pt>
                <c:pt idx="384">
                  <c:v>6468.75</c:v>
                </c:pt>
                <c:pt idx="385">
                  <c:v>5850</c:v>
                </c:pt>
                <c:pt idx="386">
                  <c:v>3468.75</c:v>
                </c:pt>
                <c:pt idx="387">
                  <c:v>5175</c:v>
                </c:pt>
                <c:pt idx="388">
                  <c:v>2981.25</c:v>
                </c:pt>
                <c:pt idx="389">
                  <c:v>4950</c:v>
                </c:pt>
                <c:pt idx="390">
                  <c:v>4387.5</c:v>
                </c:pt>
                <c:pt idx="391">
                  <c:v>2197.5</c:v>
                </c:pt>
                <c:pt idx="392">
                  <c:v>7875</c:v>
                </c:pt>
                <c:pt idx="393">
                  <c:v>5816.25</c:v>
                </c:pt>
                <c:pt idx="394">
                  <c:v>1893.75</c:v>
                </c:pt>
                <c:pt idx="395">
                  <c:v>4950</c:v>
                </c:pt>
                <c:pt idx="396">
                  <c:v>4125</c:v>
                </c:pt>
                <c:pt idx="397">
                  <c:v>3937.5</c:v>
                </c:pt>
                <c:pt idx="398">
                  <c:v>2437.5</c:v>
                </c:pt>
                <c:pt idx="399">
                  <c:v>5400</c:v>
                </c:pt>
                <c:pt idx="400">
                  <c:v>9075</c:v>
                </c:pt>
                <c:pt idx="401">
                  <c:v>5437.5</c:v>
                </c:pt>
                <c:pt idx="402">
                  <c:v>3131.25</c:v>
                </c:pt>
                <c:pt idx="403">
                  <c:v>11100</c:v>
                </c:pt>
                <c:pt idx="404">
                  <c:v>5178.75</c:v>
                </c:pt>
                <c:pt idx="405">
                  <c:v>7743.75</c:v>
                </c:pt>
                <c:pt idx="406">
                  <c:v>5962.5</c:v>
                </c:pt>
                <c:pt idx="407">
                  <c:v>4912.5</c:v>
                </c:pt>
                <c:pt idx="408">
                  <c:v>3112.5</c:v>
                </c:pt>
                <c:pt idx="409">
                  <c:v>12412.5</c:v>
                </c:pt>
                <c:pt idx="410">
                  <c:v>3187.5</c:v>
                </c:pt>
                <c:pt idx="411">
                  <c:v>13950</c:v>
                </c:pt>
                <c:pt idx="412">
                  <c:v>3375</c:v>
                </c:pt>
                <c:pt idx="413">
                  <c:v>14283.75</c:v>
                </c:pt>
                <c:pt idx="414">
                  <c:v>7162.5</c:v>
                </c:pt>
                <c:pt idx="415">
                  <c:v>8137.5</c:v>
                </c:pt>
                <c:pt idx="416">
                  <c:v>7072.5</c:v>
                </c:pt>
                <c:pt idx="417">
                  <c:v>6528.75</c:v>
                </c:pt>
                <c:pt idx="418">
                  <c:v>8700</c:v>
                </c:pt>
                <c:pt idx="419">
                  <c:v>8325</c:v>
                </c:pt>
                <c:pt idx="420">
                  <c:v>8550</c:v>
                </c:pt>
                <c:pt idx="421">
                  <c:v>8137.5</c:v>
                </c:pt>
                <c:pt idx="422">
                  <c:v>7275</c:v>
                </c:pt>
                <c:pt idx="423">
                  <c:v>6825</c:v>
                </c:pt>
                <c:pt idx="424">
                  <c:v>6187.5</c:v>
                </c:pt>
                <c:pt idx="425">
                  <c:v>7785</c:v>
                </c:pt>
                <c:pt idx="426">
                  <c:v>6806.25</c:v>
                </c:pt>
                <c:pt idx="427">
                  <c:v>6258.75</c:v>
                </c:pt>
                <c:pt idx="428">
                  <c:v>5715</c:v>
                </c:pt>
                <c:pt idx="429">
                  <c:v>4080</c:v>
                </c:pt>
                <c:pt idx="430">
                  <c:v>9262.5</c:v>
                </c:pt>
                <c:pt idx="431">
                  <c:v>8437.5</c:v>
                </c:pt>
                <c:pt idx="432">
                  <c:v>7875</c:v>
                </c:pt>
                <c:pt idx="433">
                  <c:v>6930</c:v>
                </c:pt>
                <c:pt idx="434">
                  <c:v>6258.75</c:v>
                </c:pt>
                <c:pt idx="435">
                  <c:v>5561.25</c:v>
                </c:pt>
                <c:pt idx="436">
                  <c:v>4083.75</c:v>
                </c:pt>
                <c:pt idx="437">
                  <c:v>9262.5</c:v>
                </c:pt>
                <c:pt idx="438">
                  <c:v>8437.5</c:v>
                </c:pt>
                <c:pt idx="439">
                  <c:v>8175</c:v>
                </c:pt>
                <c:pt idx="440">
                  <c:v>8325</c:v>
                </c:pt>
                <c:pt idx="441">
                  <c:v>8437.5</c:v>
                </c:pt>
                <c:pt idx="442">
                  <c:v>8812.5</c:v>
                </c:pt>
                <c:pt idx="443">
                  <c:v>8137.5</c:v>
                </c:pt>
                <c:pt idx="444">
                  <c:v>7226.25</c:v>
                </c:pt>
                <c:pt idx="445">
                  <c:v>5715</c:v>
                </c:pt>
                <c:pt idx="446">
                  <c:v>4080</c:v>
                </c:pt>
                <c:pt idx="447">
                  <c:v>9150</c:v>
                </c:pt>
                <c:pt idx="448">
                  <c:v>8700</c:v>
                </c:pt>
                <c:pt idx="449">
                  <c:v>5171.25</c:v>
                </c:pt>
                <c:pt idx="450">
                  <c:v>10087.5</c:v>
                </c:pt>
                <c:pt idx="451">
                  <c:v>11137.5</c:v>
                </c:pt>
                <c:pt idx="452">
                  <c:v>10987.5</c:v>
                </c:pt>
                <c:pt idx="453">
                  <c:v>12037.5</c:v>
                </c:pt>
                <c:pt idx="454">
                  <c:v>8775</c:v>
                </c:pt>
                <c:pt idx="455">
                  <c:v>8362.5</c:v>
                </c:pt>
                <c:pt idx="456">
                  <c:v>6506.25</c:v>
                </c:pt>
                <c:pt idx="457">
                  <c:v>10350</c:v>
                </c:pt>
                <c:pt idx="458">
                  <c:v>9525</c:v>
                </c:pt>
                <c:pt idx="459">
                  <c:v>9000</c:v>
                </c:pt>
                <c:pt idx="460">
                  <c:v>7353.75</c:v>
                </c:pt>
                <c:pt idx="461">
                  <c:v>4901.25</c:v>
                </c:pt>
                <c:pt idx="462">
                  <c:v>10800</c:v>
                </c:pt>
                <c:pt idx="463">
                  <c:v>9000</c:v>
                </c:pt>
                <c:pt idx="464">
                  <c:v>14325</c:v>
                </c:pt>
                <c:pt idx="465">
                  <c:v>14775</c:v>
                </c:pt>
                <c:pt idx="466">
                  <c:v>15637.5</c:v>
                </c:pt>
                <c:pt idx="467">
                  <c:v>14137.5</c:v>
                </c:pt>
                <c:pt idx="468">
                  <c:v>15750</c:v>
                </c:pt>
                <c:pt idx="469">
                  <c:v>16275</c:v>
                </c:pt>
                <c:pt idx="470">
                  <c:v>12825</c:v>
                </c:pt>
                <c:pt idx="471">
                  <c:v>13350</c:v>
                </c:pt>
                <c:pt idx="472">
                  <c:v>15562.5</c:v>
                </c:pt>
                <c:pt idx="473">
                  <c:v>15562.5</c:v>
                </c:pt>
                <c:pt idx="474">
                  <c:v>15562.5</c:v>
                </c:pt>
                <c:pt idx="475">
                  <c:v>15266.25</c:v>
                </c:pt>
                <c:pt idx="476">
                  <c:v>16162.5</c:v>
                </c:pt>
                <c:pt idx="477">
                  <c:v>10173.75</c:v>
                </c:pt>
                <c:pt idx="478">
                  <c:v>9487.5</c:v>
                </c:pt>
                <c:pt idx="479">
                  <c:v>9828.75</c:v>
                </c:pt>
                <c:pt idx="480">
                  <c:v>12375</c:v>
                </c:pt>
                <c:pt idx="481">
                  <c:v>8587.5</c:v>
                </c:pt>
                <c:pt idx="482">
                  <c:v>10537.5</c:v>
                </c:pt>
                <c:pt idx="483">
                  <c:v>9408.75</c:v>
                </c:pt>
                <c:pt idx="484">
                  <c:v>9348.75</c:v>
                </c:pt>
                <c:pt idx="485">
                  <c:v>7875</c:v>
                </c:pt>
                <c:pt idx="486">
                  <c:v>10800</c:v>
                </c:pt>
                <c:pt idx="487">
                  <c:v>7533.75</c:v>
                </c:pt>
                <c:pt idx="488">
                  <c:v>11175</c:v>
                </c:pt>
                <c:pt idx="489">
                  <c:v>3825</c:v>
                </c:pt>
                <c:pt idx="490">
                  <c:v>13462.5</c:v>
                </c:pt>
                <c:pt idx="491">
                  <c:v>5700</c:v>
                </c:pt>
                <c:pt idx="492">
                  <c:v>2853.75</c:v>
                </c:pt>
                <c:pt idx="493">
                  <c:v>13462.5</c:v>
                </c:pt>
                <c:pt idx="494">
                  <c:v>6225</c:v>
                </c:pt>
                <c:pt idx="495">
                  <c:v>14775</c:v>
                </c:pt>
                <c:pt idx="496">
                  <c:v>14775</c:v>
                </c:pt>
                <c:pt idx="497">
                  <c:v>15262.5</c:v>
                </c:pt>
                <c:pt idx="498">
                  <c:v>15562.5</c:v>
                </c:pt>
                <c:pt idx="499">
                  <c:v>15562.5</c:v>
                </c:pt>
                <c:pt idx="500">
                  <c:v>8010</c:v>
                </c:pt>
                <c:pt idx="501">
                  <c:v>6945</c:v>
                </c:pt>
                <c:pt idx="502">
                  <c:v>15562.5</c:v>
                </c:pt>
                <c:pt idx="503">
                  <c:v>15562.5</c:v>
                </c:pt>
                <c:pt idx="504">
                  <c:v>13912.5</c:v>
                </c:pt>
                <c:pt idx="505">
                  <c:v>14737.5</c:v>
                </c:pt>
                <c:pt idx="506">
                  <c:v>16387.5</c:v>
                </c:pt>
                <c:pt idx="507">
                  <c:v>18112.5</c:v>
                </c:pt>
                <c:pt idx="508">
                  <c:v>16950</c:v>
                </c:pt>
                <c:pt idx="509">
                  <c:v>17212.5</c:v>
                </c:pt>
                <c:pt idx="510">
                  <c:v>16387.5</c:v>
                </c:pt>
                <c:pt idx="511">
                  <c:v>16387.5</c:v>
                </c:pt>
                <c:pt idx="512">
                  <c:v>16387.5</c:v>
                </c:pt>
                <c:pt idx="513">
                  <c:v>7725</c:v>
                </c:pt>
                <c:pt idx="514">
                  <c:v>13912.5</c:v>
                </c:pt>
                <c:pt idx="515">
                  <c:v>13912.5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4F4-F340-8B1B-43ECA9ACDC42}"/>
            </c:ext>
          </c:extLst>
        </c:ser>
        <c:ser>
          <c:idx val="0"/>
          <c:order val="0"/>
          <c:tx>
            <c:v>Titanium alloys</c:v>
          </c:tx>
          <c:spPr>
            <a:ln w="31750">
              <a:noFill/>
            </a:ln>
          </c:spPr>
          <c:xVal>
            <c:numRef>
              <c:f>[3]Foglio3!$F$3:$F$45</c:f>
              <c:numCache>
                <c:formatCode>General</c:formatCode>
                <c:ptCount val="43"/>
                <c:pt idx="0">
                  <c:v>3539.1450999999997</c:v>
                </c:pt>
                <c:pt idx="1">
                  <c:v>3691.8744999999999</c:v>
                </c:pt>
                <c:pt idx="2">
                  <c:v>252.71769599999999</c:v>
                </c:pt>
                <c:pt idx="3">
                  <c:v>982.44899999999996</c:v>
                </c:pt>
                <c:pt idx="4">
                  <c:v>1763.5335799999998</c:v>
                </c:pt>
                <c:pt idx="5">
                  <c:v>240.41270374999999</c:v>
                </c:pt>
                <c:pt idx="6">
                  <c:v>240.41270374999999</c:v>
                </c:pt>
                <c:pt idx="7">
                  <c:v>240.41270374999999</c:v>
                </c:pt>
                <c:pt idx="8">
                  <c:v>633.06308999999999</c:v>
                </c:pt>
                <c:pt idx="9">
                  <c:v>395.8450125</c:v>
                </c:pt>
                <c:pt idx="10">
                  <c:v>396.7395775</c:v>
                </c:pt>
                <c:pt idx="11">
                  <c:v>396.7395775</c:v>
                </c:pt>
                <c:pt idx="12">
                  <c:v>396.29229499999997</c:v>
                </c:pt>
                <c:pt idx="13">
                  <c:v>547.08475499999997</c:v>
                </c:pt>
                <c:pt idx="14">
                  <c:v>547.08475499999997</c:v>
                </c:pt>
                <c:pt idx="15">
                  <c:v>547.08475499999997</c:v>
                </c:pt>
                <c:pt idx="16">
                  <c:v>1180.2294039999999</c:v>
                </c:pt>
                <c:pt idx="17">
                  <c:v>1298.2894675</c:v>
                </c:pt>
                <c:pt idx="18">
                  <c:v>1414.7059837500003</c:v>
                </c:pt>
                <c:pt idx="19">
                  <c:v>1414.7059837500003</c:v>
                </c:pt>
                <c:pt idx="20">
                  <c:v>2179.9486537500002</c:v>
                </c:pt>
                <c:pt idx="21">
                  <c:v>2177.7399925000004</c:v>
                </c:pt>
                <c:pt idx="22">
                  <c:v>1552.6084700000004</c:v>
                </c:pt>
                <c:pt idx="23">
                  <c:v>1552.6084700000004</c:v>
                </c:pt>
                <c:pt idx="24">
                  <c:v>1273.2793905000001</c:v>
                </c:pt>
                <c:pt idx="25">
                  <c:v>40.748752000000003</c:v>
                </c:pt>
                <c:pt idx="26">
                  <c:v>477.82499999999999</c:v>
                </c:pt>
                <c:pt idx="27">
                  <c:v>246.09160799999998</c:v>
                </c:pt>
                <c:pt idx="28">
                  <c:v>132.79174999999998</c:v>
                </c:pt>
                <c:pt idx="29">
                  <c:v>240.20723999999998</c:v>
                </c:pt>
                <c:pt idx="30">
                  <c:v>221.25712699999997</c:v>
                </c:pt>
                <c:pt idx="31">
                  <c:v>456.27000000000004</c:v>
                </c:pt>
                <c:pt idx="32">
                  <c:v>456.27000000000004</c:v>
                </c:pt>
                <c:pt idx="33">
                  <c:v>456.27000000000004</c:v>
                </c:pt>
                <c:pt idx="34">
                  <c:v>1013.3663624999999</c:v>
                </c:pt>
                <c:pt idx="35">
                  <c:v>2337.807225</c:v>
                </c:pt>
                <c:pt idx="36">
                  <c:v>424.68422125000001</c:v>
                </c:pt>
                <c:pt idx="37">
                  <c:v>109.324185</c:v>
                </c:pt>
                <c:pt idx="38">
                  <c:v>10.329104000000001</c:v>
                </c:pt>
                <c:pt idx="39">
                  <c:v>10.317678000000001</c:v>
                </c:pt>
                <c:pt idx="40">
                  <c:v>10.317678000000001</c:v>
                </c:pt>
                <c:pt idx="41">
                  <c:v>10.386234000000002</c:v>
                </c:pt>
                <c:pt idx="42">
                  <c:v>10.306252000000001</c:v>
                </c:pt>
              </c:numCache>
            </c:numRef>
          </c:xVal>
          <c:yVal>
            <c:numRef>
              <c:f>[3]Foglio3!$G$3:$G$45</c:f>
              <c:numCache>
                <c:formatCode>General</c:formatCode>
                <c:ptCount val="43"/>
                <c:pt idx="0">
                  <c:v>3457.4</c:v>
                </c:pt>
                <c:pt idx="1">
                  <c:v>4678.7000000000007</c:v>
                </c:pt>
                <c:pt idx="2">
                  <c:v>3253.8500000000004</c:v>
                </c:pt>
                <c:pt idx="3">
                  <c:v>4926.5</c:v>
                </c:pt>
                <c:pt idx="4">
                  <c:v>5870.5</c:v>
                </c:pt>
                <c:pt idx="5">
                  <c:v>6321.85</c:v>
                </c:pt>
                <c:pt idx="6">
                  <c:v>6873.5</c:v>
                </c:pt>
                <c:pt idx="7">
                  <c:v>5849.85</c:v>
                </c:pt>
                <c:pt idx="8">
                  <c:v>6401.5</c:v>
                </c:pt>
                <c:pt idx="9">
                  <c:v>6195</c:v>
                </c:pt>
                <c:pt idx="10">
                  <c:v>5003.2000000000007</c:v>
                </c:pt>
                <c:pt idx="11">
                  <c:v>4967.8</c:v>
                </c:pt>
                <c:pt idx="12">
                  <c:v>5596.1500000000005</c:v>
                </c:pt>
                <c:pt idx="13">
                  <c:v>5369</c:v>
                </c:pt>
                <c:pt idx="14">
                  <c:v>5702.35</c:v>
                </c:pt>
                <c:pt idx="15">
                  <c:v>6091.75</c:v>
                </c:pt>
                <c:pt idx="16">
                  <c:v>5310</c:v>
                </c:pt>
                <c:pt idx="17">
                  <c:v>6065.2000000000007</c:v>
                </c:pt>
                <c:pt idx="18">
                  <c:v>5135.9500000000007</c:v>
                </c:pt>
                <c:pt idx="19">
                  <c:v>6844</c:v>
                </c:pt>
                <c:pt idx="20">
                  <c:v>5224.4500000000007</c:v>
                </c:pt>
                <c:pt idx="21">
                  <c:v>6029.8</c:v>
                </c:pt>
                <c:pt idx="22">
                  <c:v>4489.9000000000005</c:v>
                </c:pt>
                <c:pt idx="23">
                  <c:v>6003.25</c:v>
                </c:pt>
                <c:pt idx="24">
                  <c:v>6667</c:v>
                </c:pt>
                <c:pt idx="25">
                  <c:v>2404.25</c:v>
                </c:pt>
                <c:pt idx="26">
                  <c:v>6136</c:v>
                </c:pt>
                <c:pt idx="27">
                  <c:v>4838</c:v>
                </c:pt>
                <c:pt idx="28">
                  <c:v>5897.05</c:v>
                </c:pt>
                <c:pt idx="29">
                  <c:v>5369</c:v>
                </c:pt>
                <c:pt idx="30">
                  <c:v>5256.9000000000005</c:v>
                </c:pt>
                <c:pt idx="31">
                  <c:v>5354.25</c:v>
                </c:pt>
                <c:pt idx="32">
                  <c:v>5135.9500000000007</c:v>
                </c:pt>
                <c:pt idx="33">
                  <c:v>5784.9500000000007</c:v>
                </c:pt>
                <c:pt idx="34">
                  <c:v>6224.5</c:v>
                </c:pt>
                <c:pt idx="35">
                  <c:v>5012.05</c:v>
                </c:pt>
                <c:pt idx="36">
                  <c:v>6519.5</c:v>
                </c:pt>
                <c:pt idx="37">
                  <c:v>5192</c:v>
                </c:pt>
                <c:pt idx="38">
                  <c:v>1215.4000000000001</c:v>
                </c:pt>
                <c:pt idx="39">
                  <c:v>1876.2</c:v>
                </c:pt>
                <c:pt idx="40">
                  <c:v>2504.5500000000002</c:v>
                </c:pt>
                <c:pt idx="41">
                  <c:v>3106.3500000000004</c:v>
                </c:pt>
                <c:pt idx="42">
                  <c:v>1932.2500000000002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4F4-F340-8B1B-43ECA9ACDC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8000152"/>
        <c:axId val="-2107997016"/>
      </c:scatterChart>
      <c:valAx>
        <c:axId val="-2108000152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-2107997016"/>
        <c:crosses val="autoZero"/>
        <c:crossBetween val="midCat"/>
      </c:valAx>
      <c:valAx>
        <c:axId val="-2107997016"/>
        <c:scaling>
          <c:logBase val="10"/>
          <c:orientation val="minMax"/>
          <c:min val="10"/>
        </c:scaling>
        <c:delete val="0"/>
        <c:axPos val="l"/>
        <c:numFmt formatCode="General" sourceLinked="1"/>
        <c:majorTickMark val="out"/>
        <c:minorTickMark val="none"/>
        <c:tickLblPos val="nextTo"/>
        <c:crossAx val="-210800015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39580800684821599"/>
          <c:y val="0.52446426088573705"/>
          <c:w val="0.29960133100921099"/>
          <c:h val="0.25365210801868898"/>
        </c:manualLayout>
      </c:layout>
      <c:overlay val="0"/>
      <c:txPr>
        <a:bodyPr/>
        <a:lstStyle/>
        <a:p>
          <a:pPr>
            <a:defRPr sz="1800">
              <a:latin typeface="Times New Roman"/>
              <a:cs typeface="Times New Roman"/>
            </a:defRPr>
          </a:pPr>
          <a:endParaRPr lang="it-IT"/>
        </a:p>
      </c:txPr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633404459110901"/>
          <c:y val="2.9354837218448698E-2"/>
          <c:w val="0.78544497888256803"/>
          <c:h val="0.78470120473958804"/>
        </c:manualLayout>
      </c:layout>
      <c:scatterChart>
        <c:scatterStyle val="lineMarker"/>
        <c:varyColors val="0"/>
        <c:ser>
          <c:idx val="4"/>
          <c:order val="4"/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Foglio3!$J$6:$J$262</c:f>
              <c:numCache>
                <c:formatCode>General</c:formatCode>
                <c:ptCount val="25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</c:numCache>
            </c:numRef>
          </c:xVal>
          <c:yVal>
            <c:numRef>
              <c:f>Foglio3!$K$6:$K$262</c:f>
              <c:numCache>
                <c:formatCode>General</c:formatCode>
                <c:ptCount val="257"/>
                <c:pt idx="0">
                  <c:v>22.627416997969508</c:v>
                </c:pt>
                <c:pt idx="1">
                  <c:v>63.999999999999979</c:v>
                </c:pt>
                <c:pt idx="2">
                  <c:v>117.5755076535926</c:v>
                </c:pt>
                <c:pt idx="3">
                  <c:v>181.01933598375612</c:v>
                </c:pt>
                <c:pt idx="4">
                  <c:v>252.9822128134704</c:v>
                </c:pt>
                <c:pt idx="5">
                  <c:v>332.55375505322462</c:v>
                </c:pt>
                <c:pt idx="6">
                  <c:v>419.06562731868172</c:v>
                </c:pt>
                <c:pt idx="7">
                  <c:v>511.99999999999949</c:v>
                </c:pt>
                <c:pt idx="8">
                  <c:v>610.94025894517677</c:v>
                </c:pt>
                <c:pt idx="9">
                  <c:v>715.54175279993228</c:v>
                </c:pt>
                <c:pt idx="10">
                  <c:v>825.51317372892413</c:v>
                </c:pt>
                <c:pt idx="11">
                  <c:v>940.60406122874019</c:v>
                </c:pt>
                <c:pt idx="12">
                  <c:v>1060.596058827299</c:v>
                </c:pt>
                <c:pt idx="13">
                  <c:v>1185.2965873569365</c:v>
                </c:pt>
                <c:pt idx="14">
                  <c:v>1314.5341380123989</c:v>
                </c:pt>
                <c:pt idx="15">
                  <c:v>1448.1546878700494</c:v>
                </c:pt>
                <c:pt idx="16">
                  <c:v>1586.0189153979218</c:v>
                </c:pt>
                <c:pt idx="17">
                  <c:v>1728.0000000000009</c:v>
                </c:pt>
                <c:pt idx="18">
                  <c:v>1873.981856902569</c:v>
                </c:pt>
                <c:pt idx="19">
                  <c:v>2023.8577025077618</c:v>
                </c:pt>
                <c:pt idx="20">
                  <c:v>2177.5288746650403</c:v>
                </c:pt>
                <c:pt idx="21">
                  <c:v>2334.9038524102011</c:v>
                </c:pt>
                <c:pt idx="22">
                  <c:v>2495.8974337900995</c:v>
                </c:pt>
                <c:pt idx="23">
                  <c:v>2660.4300404257951</c:v>
                </c:pt>
                <c:pt idx="24">
                  <c:v>2828.4271247461875</c:v>
                </c:pt>
                <c:pt idx="25">
                  <c:v>2999.8186611860388</c:v>
                </c:pt>
                <c:pt idx="26">
                  <c:v>3174.538706647003</c:v>
                </c:pt>
                <c:pt idx="27">
                  <c:v>3352.5250185494483</c:v>
                </c:pt>
                <c:pt idx="28">
                  <c:v>3533.7187211208548</c:v>
                </c:pt>
                <c:pt idx="29">
                  <c:v>3718.0640123591179</c:v>
                </c:pt>
                <c:pt idx="30">
                  <c:v>3905.5079055098581</c:v>
                </c:pt>
                <c:pt idx="31">
                  <c:v>4095.9999999999968</c:v>
                </c:pt>
                <c:pt idx="32">
                  <c:v>4289.4922776477897</c:v>
                </c:pt>
                <c:pt idx="33">
                  <c:v>4485.9389206720198</c:v>
                </c:pt>
                <c:pt idx="34">
                  <c:v>4685.2961485908208</c:v>
                </c:pt>
                <c:pt idx="35">
                  <c:v>4887.5220715614159</c:v>
                </c:pt>
                <c:pt idx="36">
                  <c:v>5092.576558089233</c:v>
                </c:pt>
                <c:pt idx="37">
                  <c:v>5300.4211153454553</c:v>
                </c:pt>
                <c:pt idx="38">
                  <c:v>5511.0187805885798</c:v>
                </c:pt>
                <c:pt idx="39">
                  <c:v>5724.3340223994601</c:v>
                </c:pt>
                <c:pt idx="40">
                  <c:v>5940.332650618152</c:v>
                </c:pt>
                <c:pt idx="41">
                  <c:v>6158.9817340206482</c:v>
                </c:pt>
                <c:pt idx="42">
                  <c:v>6380.2495249010481</c:v>
                </c:pt>
                <c:pt idx="43">
                  <c:v>6604.105389831383</c:v>
                </c:pt>
                <c:pt idx="44">
                  <c:v>6830.5197459637011</c:v>
                </c:pt>
                <c:pt idx="45">
                  <c:v>7059.4640023163265</c:v>
                </c:pt>
                <c:pt idx="46">
                  <c:v>7290.9105055541631</c:v>
                </c:pt>
                <c:pt idx="47">
                  <c:v>7524.8324898299234</c:v>
                </c:pt>
                <c:pt idx="48">
                  <c:v>7761.2040303035456</c:v>
                </c:pt>
                <c:pt idx="49">
                  <c:v>8000</c:v>
                </c:pt>
                <c:pt idx="50">
                  <c:v>8241.1960297034566</c:v>
                </c:pt>
                <c:pt idx="51">
                  <c:v>8484.7684706183863</c:v>
                </c:pt>
                <c:pt idx="52">
                  <c:v>8730.6943595569719</c:v>
                </c:pt>
                <c:pt idx="53">
                  <c:v>8978.9513864370656</c:v>
                </c:pt>
                <c:pt idx="54">
                  <c:v>9229.5178638973284</c:v>
                </c:pt>
                <c:pt idx="55">
                  <c:v>9482.3726988554936</c:v>
                </c:pt>
                <c:pt idx="56">
                  <c:v>9737.4953658525574</c:v>
                </c:pt>
                <c:pt idx="57">
                  <c:v>9994.8658820416349</c:v>
                </c:pt>
                <c:pt idx="58">
                  <c:v>10254.464783693007</c:v>
                </c:pt>
                <c:pt idx="59">
                  <c:v>10516.273104099195</c:v>
                </c:pt>
                <c:pt idx="60">
                  <c:v>10780.272352774768</c:v>
                </c:pt>
                <c:pt idx="61">
                  <c:v>11046.444495854774</c:v>
                </c:pt>
                <c:pt idx="62">
                  <c:v>11314.771937604406</c:v>
                </c:pt>
                <c:pt idx="63">
                  <c:v>11585.237502960397</c:v>
                </c:pt>
                <c:pt idx="64">
                  <c:v>11857.824421031029</c:v>
                </c:pt>
                <c:pt idx="65">
                  <c:v>12132.516309488316</c:v>
                </c:pt>
                <c:pt idx="66">
                  <c:v>12409.297159791115</c:v>
                </c:pt>
                <c:pt idx="67">
                  <c:v>12688.151323183378</c:v>
                </c:pt>
                <c:pt idx="68">
                  <c:v>12969.06349741568</c:v>
                </c:pt>
                <c:pt idx="69">
                  <c:v>13252.018714143147</c:v>
                </c:pt>
                <c:pt idx="70">
                  <c:v>13537.002326955551</c:v>
                </c:pt>
                <c:pt idx="71">
                  <c:v>13824.000000000011</c:v>
                </c:pt>
                <c:pt idx="72">
                  <c:v>14112.997697158462</c:v>
                </c:pt>
                <c:pt idx="73">
                  <c:v>14403.981671746167</c:v>
                </c:pt>
                <c:pt idx="74">
                  <c:v>14696.938456699054</c:v>
                </c:pt>
                <c:pt idx="75">
                  <c:v>14991.854855220556</c:v>
                </c:pt>
                <c:pt idx="76">
                  <c:v>15288.717931860734</c:v>
                </c:pt>
                <c:pt idx="77">
                  <c:v>15587.5150040024</c:v>
                </c:pt>
                <c:pt idx="78">
                  <c:v>15888.233633730353</c:v>
                </c:pt>
                <c:pt idx="79">
                  <c:v>16190.861620062084</c:v>
                </c:pt>
                <c:pt idx="80">
                  <c:v>16495.386991519776</c:v>
                </c:pt>
                <c:pt idx="81">
                  <c:v>16801.797999023769</c:v>
                </c:pt>
                <c:pt idx="82">
                  <c:v>17110.083109090952</c:v>
                </c:pt>
                <c:pt idx="83">
                  <c:v>17420.230997320312</c:v>
                </c:pt>
                <c:pt idx="84">
                  <c:v>17732.230542151185</c:v>
                </c:pt>
                <c:pt idx="85">
                  <c:v>18046.070818879103</c:v>
                </c:pt>
                <c:pt idx="86">
                  <c:v>18361.741093915909</c:v>
                </c:pt>
                <c:pt idx="87">
                  <c:v>18679.230819281613</c:v>
                </c:pt>
                <c:pt idx="88">
                  <c:v>18998.5296273159</c:v>
                </c:pt>
                <c:pt idx="89">
                  <c:v>19319.627325598205</c:v>
                </c:pt>
                <c:pt idx="90">
                  <c:v>19642.51389206585</c:v>
                </c:pt>
                <c:pt idx="91">
                  <c:v>19967.179470320785</c:v>
                </c:pt>
                <c:pt idx="92">
                  <c:v>20293.614365114954</c:v>
                </c:pt>
                <c:pt idx="93">
                  <c:v>20621.809038006337</c:v>
                </c:pt>
                <c:pt idx="94">
                  <c:v>20951.754103177154</c:v>
                </c:pt>
                <c:pt idx="95">
                  <c:v>21283.440323406387</c:v>
                </c:pt>
                <c:pt idx="96">
                  <c:v>21616.85860618978</c:v>
                </c:pt>
                <c:pt idx="97">
                  <c:v>21951.999999999982</c:v>
                </c:pt>
                <c:pt idx="98">
                  <c:v>22288.85569068095</c:v>
                </c:pt>
                <c:pt idx="99">
                  <c:v>22627.416997969503</c:v>
                </c:pt>
                <c:pt idx="100">
                  <c:v>22967.675372139871</c:v>
                </c:pt>
                <c:pt idx="101">
                  <c:v>23309.622390763849</c:v>
                </c:pt>
                <c:pt idx="102">
                  <c:v>23653.24975558326</c:v>
                </c:pt>
                <c:pt idx="103">
                  <c:v>23998.549289488317</c:v>
                </c:pt>
                <c:pt idx="104">
                  <c:v>24345.512933598246</c:v>
                </c:pt>
                <c:pt idx="105">
                  <c:v>24694.132744439532</c:v>
                </c:pt>
                <c:pt idx="106">
                  <c:v>25044.400891217188</c:v>
                </c:pt>
                <c:pt idx="107">
                  <c:v>25396.309653175987</c:v>
                </c:pt>
                <c:pt idx="108">
                  <c:v>25749.851417047052</c:v>
                </c:pt>
                <c:pt idx="109">
                  <c:v>26105.018674576746</c:v>
                </c:pt>
                <c:pt idx="110">
                  <c:v>26461.804020134368</c:v>
                </c:pt>
                <c:pt idx="111">
                  <c:v>26820.200148395594</c:v>
                </c:pt>
                <c:pt idx="112">
                  <c:v>27180.199852098216</c:v>
                </c:pt>
                <c:pt idx="113">
                  <c:v>27541.796019867677</c:v>
                </c:pt>
                <c:pt idx="114">
                  <c:v>27904.98163410971</c:v>
                </c:pt>
                <c:pt idx="115">
                  <c:v>28269.749768966845</c:v>
                </c:pt>
                <c:pt idx="116">
                  <c:v>28636.093588337048</c:v>
                </c:pt>
                <c:pt idx="117">
                  <c:v>29004.006343951853</c:v>
                </c:pt>
                <c:pt idx="118">
                  <c:v>29373.481373511022</c:v>
                </c:pt>
                <c:pt idx="119">
                  <c:v>29744.51209887295</c:v>
                </c:pt>
                <c:pt idx="120">
                  <c:v>30117.092024297428</c:v>
                </c:pt>
                <c:pt idx="121">
                  <c:v>30491.214734739558</c:v>
                </c:pt>
                <c:pt idx="122">
                  <c:v>30866.873894192762</c:v>
                </c:pt>
                <c:pt idx="123">
                  <c:v>31244.063244078872</c:v>
                </c:pt>
                <c:pt idx="124">
                  <c:v>31622.776601683781</c:v>
                </c:pt>
                <c:pt idx="125">
                  <c:v>32003.007858637284</c:v>
                </c:pt>
                <c:pt idx="126">
                  <c:v>32384.750979434761</c:v>
                </c:pt>
                <c:pt idx="127">
                  <c:v>32767.999999999985</c:v>
                </c:pt>
                <c:pt idx="128">
                  <c:v>33152.74902628742</c:v>
                </c:pt>
                <c:pt idx="129">
                  <c:v>33538.992232921984</c:v>
                </c:pt>
                <c:pt idx="130">
                  <c:v>33926.723861876198</c:v>
                </c:pt>
                <c:pt idx="131">
                  <c:v>34315.938221182267</c:v>
                </c:pt>
                <c:pt idx="132">
                  <c:v>34706.62968367857</c:v>
                </c:pt>
                <c:pt idx="133">
                  <c:v>35098.792685789085</c:v>
                </c:pt>
                <c:pt idx="134">
                  <c:v>35492.421726334775</c:v>
                </c:pt>
                <c:pt idx="135">
                  <c:v>35887.5113653761</c:v>
                </c:pt>
                <c:pt idx="136">
                  <c:v>36284.056223085099</c:v>
                </c:pt>
                <c:pt idx="137">
                  <c:v>36682.050978646235</c:v>
                </c:pt>
                <c:pt idx="138">
                  <c:v>37081.490369185543</c:v>
                </c:pt>
                <c:pt idx="139">
                  <c:v>37482.369188726574</c:v>
                </c:pt>
                <c:pt idx="140">
                  <c:v>37884.682287172502</c:v>
                </c:pt>
                <c:pt idx="141">
                  <c:v>38288.424569313414</c:v>
                </c:pt>
                <c:pt idx="142">
                  <c:v>38693.590993858401</c:v>
                </c:pt>
                <c:pt idx="143">
                  <c:v>39100.176572491335</c:v>
                </c:pt>
                <c:pt idx="144">
                  <c:v>39508.176368949222</c:v>
                </c:pt>
                <c:pt idx="145">
                  <c:v>39917.585498123481</c:v>
                </c:pt>
                <c:pt idx="146">
                  <c:v>40328.399125182244</c:v>
                </c:pt>
                <c:pt idx="147">
                  <c:v>40740.612464713871</c:v>
                </c:pt>
                <c:pt idx="148">
                  <c:v>41154.220779890857</c:v>
                </c:pt>
                <c:pt idx="149">
                  <c:v>41569.219381653056</c:v>
                </c:pt>
                <c:pt idx="150">
                  <c:v>41985.603627910401</c:v>
                </c:pt>
                <c:pt idx="151">
                  <c:v>42403.36892276373</c:v>
                </c:pt>
                <c:pt idx="152">
                  <c:v>42822.510715743891</c:v>
                </c:pt>
                <c:pt idx="153">
                  <c:v>43243.024501068343</c:v>
                </c:pt>
                <c:pt idx="154">
                  <c:v>43664.905816914368</c:v>
                </c:pt>
                <c:pt idx="155">
                  <c:v>44088.150244708653</c:v>
                </c:pt>
                <c:pt idx="156">
                  <c:v>44512.75340843336</c:v>
                </c:pt>
                <c:pt idx="157">
                  <c:v>44938.710973947622</c:v>
                </c:pt>
                <c:pt idx="158">
                  <c:v>45366.018648323166</c:v>
                </c:pt>
                <c:pt idx="159">
                  <c:v>45794.672179195688</c:v>
                </c:pt>
                <c:pt idx="160">
                  <c:v>46224.667354130332</c:v>
                </c:pt>
                <c:pt idx="161">
                  <c:v>46656.000000000029</c:v>
                </c:pt>
                <c:pt idx="162">
                  <c:v>47088.665982378428</c:v>
                </c:pt>
                <c:pt idx="163">
                  <c:v>47522.661204945143</c:v>
                </c:pt>
                <c:pt idx="164">
                  <c:v>47957.981608904243</c:v>
                </c:pt>
                <c:pt idx="165">
                  <c:v>48394.623172414525</c:v>
                </c:pt>
                <c:pt idx="166">
                  <c:v>48832.581910032139</c:v>
                </c:pt>
                <c:pt idx="167">
                  <c:v>49271.8538721652</c:v>
                </c:pt>
                <c:pt idx="168">
                  <c:v>49712.435144539035</c:v>
                </c:pt>
                <c:pt idx="169">
                  <c:v>50154.321847673302</c:v>
                </c:pt>
                <c:pt idx="170">
                  <c:v>50597.510136369368</c:v>
                </c:pt>
                <c:pt idx="171">
                  <c:v>51041.996199208304</c:v>
                </c:pt>
                <c:pt idx="172">
                  <c:v>51487.776258059523</c:v>
                </c:pt>
                <c:pt idx="173">
                  <c:v>51934.846567598594</c:v>
                </c:pt>
                <c:pt idx="174">
                  <c:v>52383.203414835189</c:v>
                </c:pt>
                <c:pt idx="175">
                  <c:v>52832.843118651079</c:v>
                </c:pt>
                <c:pt idx="176">
                  <c:v>53283.762029346261</c:v>
                </c:pt>
                <c:pt idx="177">
                  <c:v>53735.95652819438</c:v>
                </c:pt>
                <c:pt idx="178">
                  <c:v>54189.423027007833</c:v>
                </c:pt>
                <c:pt idx="179">
                  <c:v>54644.157967709623</c:v>
                </c:pt>
                <c:pt idx="180">
                  <c:v>55100.157821915513</c:v>
                </c:pt>
                <c:pt idx="181">
                  <c:v>55557.419090522868</c:v>
                </c:pt>
                <c:pt idx="182">
                  <c:v>56015.938303307936</c:v>
                </c:pt>
                <c:pt idx="183">
                  <c:v>56475.712018530525</c:v>
                </c:pt>
                <c:pt idx="184">
                  <c:v>56936.736822547195</c:v>
                </c:pt>
                <c:pt idx="185">
                  <c:v>57399.009329430024</c:v>
                </c:pt>
                <c:pt idx="186">
                  <c:v>57862.526180594599</c:v>
                </c:pt>
                <c:pt idx="187">
                  <c:v>58327.28404443332</c:v>
                </c:pt>
                <c:pt idx="188">
                  <c:v>58793.279615956046</c:v>
                </c:pt>
                <c:pt idx="189">
                  <c:v>59260.509616438496</c:v>
                </c:pt>
                <c:pt idx="190">
                  <c:v>59728.970793074972</c:v>
                </c:pt>
                <c:pt idx="191">
                  <c:v>60198.659918639401</c:v>
                </c:pt>
                <c:pt idx="192">
                  <c:v>60669.573791151721</c:v>
                </c:pt>
                <c:pt idx="193">
                  <c:v>61141.709233550253</c:v>
                </c:pt>
                <c:pt idx="194">
                  <c:v>61615.063093370358</c:v>
                </c:pt>
                <c:pt idx="195">
                  <c:v>62089.632242428379</c:v>
                </c:pt>
                <c:pt idx="196">
                  <c:v>62565.413576512059</c:v>
                </c:pt>
                <c:pt idx="197">
                  <c:v>63042.40401507543</c:v>
                </c:pt>
                <c:pt idx="198">
                  <c:v>63520.600500939865</c:v>
                </c:pt>
                <c:pt idx="199">
                  <c:v>64000.000000000022</c:v>
                </c:pt>
                <c:pt idx="200">
                  <c:v>64480.599500935241</c:v>
                </c:pt>
                <c:pt idx="201">
                  <c:v>64962.396014925405</c:v>
                </c:pt>
                <c:pt idx="202">
                  <c:v>65445.386575372882</c:v>
                </c:pt>
                <c:pt idx="203">
                  <c:v>65929.568237627667</c:v>
                </c:pt>
                <c:pt idx="204">
                  <c:v>66414.938078718405</c:v>
                </c:pt>
                <c:pt idx="205">
                  <c:v>66901.493197087955</c:v>
                </c:pt>
                <c:pt idx="206">
                  <c:v>67389.230712332632</c:v>
                </c:pt>
                <c:pt idx="207">
                  <c:v>67878.147764947236</c:v>
                </c:pt>
                <c:pt idx="208">
                  <c:v>68368.241516072318</c:v>
                </c:pt>
                <c:pt idx="209">
                  <c:v>68859.509147248536</c:v>
                </c:pt>
                <c:pt idx="210">
                  <c:v>69351.94786017196</c:v>
                </c:pt>
                <c:pt idx="211">
                  <c:v>69845.55487645579</c:v>
                </c:pt>
                <c:pt idx="212">
                  <c:v>70340.327437395405</c:v>
                </c:pt>
                <c:pt idx="213">
                  <c:v>70836.262803736303</c:v>
                </c:pt>
                <c:pt idx="214">
                  <c:v>71333.358255447325</c:v>
                </c:pt>
                <c:pt idx="215">
                  <c:v>71831.611091496408</c:v>
                </c:pt>
                <c:pt idx="216">
                  <c:v>72331.018629630897</c:v>
                </c:pt>
                <c:pt idx="217">
                  <c:v>72831.578206159946</c:v>
                </c:pt>
                <c:pt idx="218">
                  <c:v>73333.287175743055</c:v>
                </c:pt>
                <c:pt idx="219">
                  <c:v>73836.142911178642</c:v>
                </c:pt>
                <c:pt idx="220">
                  <c:v>74340.142803198818</c:v>
                </c:pt>
                <c:pt idx="221">
                  <c:v>74845.284260265908</c:v>
                </c:pt>
                <c:pt idx="222">
                  <c:v>75351.564708372214</c:v>
                </c:pt>
                <c:pt idx="223">
                  <c:v>75858.981590843978</c:v>
                </c:pt>
                <c:pt idx="224">
                  <c:v>76367.532368147193</c:v>
                </c:pt>
                <c:pt idx="225">
                  <c:v>76877.214517696921</c:v>
                </c:pt>
                <c:pt idx="226">
                  <c:v>77388.02553367021</c:v>
                </c:pt>
                <c:pt idx="227">
                  <c:v>77899.962926820343</c:v>
                </c:pt>
                <c:pt idx="228">
                  <c:v>78413.024224295761</c:v>
                </c:pt>
                <c:pt idx="229">
                  <c:v>78927.206969460109</c:v>
                </c:pt>
                <c:pt idx="230">
                  <c:v>79442.508721716484</c:v>
                </c:pt>
                <c:pt idx="231">
                  <c:v>79958.927056333108</c:v>
                </c:pt>
                <c:pt idx="232">
                  <c:v>80476.459564272605</c:v>
                </c:pt>
                <c:pt idx="233">
                  <c:v>80995.10385202305</c:v>
                </c:pt>
                <c:pt idx="234">
                  <c:v>81514.857541432386</c:v>
                </c:pt>
                <c:pt idx="235">
                  <c:v>82035.718269543926</c:v>
                </c:pt>
                <c:pt idx="236">
                  <c:v>82557.683688436824</c:v>
                </c:pt>
                <c:pt idx="237">
                  <c:v>83080.751465065638</c:v>
                </c:pt>
                <c:pt idx="238">
                  <c:v>83604.919281104434</c:v>
                </c:pt>
                <c:pt idx="239">
                  <c:v>84130.184832793573</c:v>
                </c:pt>
                <c:pt idx="240">
                  <c:v>84656.545830786185</c:v>
                </c:pt>
                <c:pt idx="241">
                  <c:v>85183.999999999927</c:v>
                </c:pt>
                <c:pt idx="242">
                  <c:v>85712.545079468939</c:v>
                </c:pt>
                <c:pt idx="243">
                  <c:v>86242.17882219817</c:v>
                </c:pt>
                <c:pt idx="244">
                  <c:v>86772.898995020383</c:v>
                </c:pt>
                <c:pt idx="245">
                  <c:v>87304.703378454957</c:v>
                </c:pt>
                <c:pt idx="246">
                  <c:v>87837.589766568562</c:v>
                </c:pt>
                <c:pt idx="247">
                  <c:v>88371.555966838059</c:v>
                </c:pt>
                <c:pt idx="248">
                  <c:v>88906.599800014767</c:v>
                </c:pt>
                <c:pt idx="249">
                  <c:v>89442.719099991489</c:v>
                </c:pt>
                <c:pt idx="250">
                  <c:v>89979.911713670823</c:v>
                </c:pt>
                <c:pt idx="251">
                  <c:v>90518.175500835277</c:v>
                </c:pt>
                <c:pt idx="252">
                  <c:v>91057.508334019381</c:v>
                </c:pt>
                <c:pt idx="253">
                  <c:v>91597.908098384112</c:v>
                </c:pt>
                <c:pt idx="254">
                  <c:v>92139.372691591416</c:v>
                </c:pt>
                <c:pt idx="255">
                  <c:v>92681.900023683207</c:v>
                </c:pt>
                <c:pt idx="256">
                  <c:v>93225.488016958145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C5-284C-8CC8-BD5926EBBEF4}"/>
            </c:ext>
          </c:extLst>
        </c:ser>
        <c:ser>
          <c:idx val="1"/>
          <c:order val="1"/>
          <c:tx>
            <c:v>Alluminum alloys</c:v>
          </c:tx>
          <c:spPr>
            <a:ln w="31750">
              <a:noFill/>
            </a:ln>
          </c:spPr>
          <c:marker>
            <c:spPr>
              <a:solidFill>
                <a:srgbClr val="6CB845"/>
              </a:solidFill>
              <a:ln>
                <a:noFill/>
              </a:ln>
            </c:spPr>
          </c:marker>
          <c:xVal>
            <c:numRef>
              <c:f>Foglio3!$G$7:$G$263</c:f>
              <c:numCache>
                <c:formatCode>General</c:formatCode>
                <c:ptCount val="257"/>
                <c:pt idx="0">
                  <c:v>196.75542250000001</c:v>
                </c:pt>
                <c:pt idx="1">
                  <c:v>30.462006249999998</c:v>
                </c:pt>
                <c:pt idx="2">
                  <c:v>41.871196249999997</c:v>
                </c:pt>
                <c:pt idx="3">
                  <c:v>471.07209499999993</c:v>
                </c:pt>
                <c:pt idx="4">
                  <c:v>471.07209499999993</c:v>
                </c:pt>
                <c:pt idx="5">
                  <c:v>471.07209499999993</c:v>
                </c:pt>
                <c:pt idx="6">
                  <c:v>843.31264999999985</c:v>
                </c:pt>
                <c:pt idx="7">
                  <c:v>722.90213499999993</c:v>
                </c:pt>
                <c:pt idx="8">
                  <c:v>1014.9212999999999</c:v>
                </c:pt>
                <c:pt idx="9">
                  <c:v>1014.9212999999999</c:v>
                </c:pt>
                <c:pt idx="10">
                  <c:v>755.09719999999993</c:v>
                </c:pt>
                <c:pt idx="11">
                  <c:v>439.22663750000004</c:v>
                </c:pt>
                <c:pt idx="12">
                  <c:v>439.22663750000004</c:v>
                </c:pt>
                <c:pt idx="13">
                  <c:v>557.1818025</c:v>
                </c:pt>
                <c:pt idx="14">
                  <c:v>557.1818025</c:v>
                </c:pt>
                <c:pt idx="15">
                  <c:v>557.1818025</c:v>
                </c:pt>
                <c:pt idx="16">
                  <c:v>557.1818025</c:v>
                </c:pt>
                <c:pt idx="17">
                  <c:v>585.57255750000002</c:v>
                </c:pt>
                <c:pt idx="18">
                  <c:v>736.33976999999993</c:v>
                </c:pt>
                <c:pt idx="19">
                  <c:v>762.63397499999996</c:v>
                </c:pt>
                <c:pt idx="20">
                  <c:v>651.88983999999994</c:v>
                </c:pt>
                <c:pt idx="21">
                  <c:v>803.95983999999999</c:v>
                </c:pt>
                <c:pt idx="22">
                  <c:v>1003.7066999999998</c:v>
                </c:pt>
                <c:pt idx="23">
                  <c:v>1003.7066999999998</c:v>
                </c:pt>
                <c:pt idx="24">
                  <c:v>559.92184499999996</c:v>
                </c:pt>
                <c:pt idx="25">
                  <c:v>559.92184499999996</c:v>
                </c:pt>
                <c:pt idx="26">
                  <c:v>559.92184499999996</c:v>
                </c:pt>
                <c:pt idx="27">
                  <c:v>559.92184499999996</c:v>
                </c:pt>
                <c:pt idx="28">
                  <c:v>585.566868</c:v>
                </c:pt>
                <c:pt idx="29">
                  <c:v>585.566868</c:v>
                </c:pt>
                <c:pt idx="30">
                  <c:v>762.63397499999996</c:v>
                </c:pt>
                <c:pt idx="31">
                  <c:v>432.11940000000004</c:v>
                </c:pt>
                <c:pt idx="32">
                  <c:v>432.11940000000004</c:v>
                </c:pt>
                <c:pt idx="33">
                  <c:v>432.11940000000004</c:v>
                </c:pt>
                <c:pt idx="34">
                  <c:v>766.23326999999995</c:v>
                </c:pt>
                <c:pt idx="35">
                  <c:v>921.53699999999981</c:v>
                </c:pt>
                <c:pt idx="36">
                  <c:v>889.5338549999999</c:v>
                </c:pt>
                <c:pt idx="37">
                  <c:v>401.74111124999996</c:v>
                </c:pt>
                <c:pt idx="38">
                  <c:v>892.43999999999994</c:v>
                </c:pt>
                <c:pt idx="39">
                  <c:v>446.40174374999998</c:v>
                </c:pt>
                <c:pt idx="40">
                  <c:v>833.51186874999996</c:v>
                </c:pt>
                <c:pt idx="41">
                  <c:v>1065.3026062500001</c:v>
                </c:pt>
                <c:pt idx="42">
                  <c:v>62.894879999999993</c:v>
                </c:pt>
                <c:pt idx="43">
                  <c:v>62.894879999999993</c:v>
                </c:pt>
                <c:pt idx="44">
                  <c:v>62.894879999999993</c:v>
                </c:pt>
                <c:pt idx="45">
                  <c:v>11.468599999999999</c:v>
                </c:pt>
                <c:pt idx="46">
                  <c:v>11.468599999999999</c:v>
                </c:pt>
                <c:pt idx="47">
                  <c:v>7.0807499999999992</c:v>
                </c:pt>
                <c:pt idx="48">
                  <c:v>8.4281849999999991</c:v>
                </c:pt>
                <c:pt idx="50">
                  <c:v>95.34348</c:v>
                </c:pt>
                <c:pt idx="51">
                  <c:v>95.34348</c:v>
                </c:pt>
                <c:pt idx="52">
                  <c:v>51.386919999999996</c:v>
                </c:pt>
                <c:pt idx="53">
                  <c:v>51.386919999999996</c:v>
                </c:pt>
                <c:pt idx="54">
                  <c:v>51.386919999999996</c:v>
                </c:pt>
                <c:pt idx="55">
                  <c:v>126.45919999999998</c:v>
                </c:pt>
                <c:pt idx="56">
                  <c:v>126.45919999999998</c:v>
                </c:pt>
                <c:pt idx="57">
                  <c:v>126.23337999999998</c:v>
                </c:pt>
                <c:pt idx="58">
                  <c:v>126.23337999999998</c:v>
                </c:pt>
                <c:pt idx="59">
                  <c:v>126.23337999999998</c:v>
                </c:pt>
                <c:pt idx="60">
                  <c:v>126.23337999999998</c:v>
                </c:pt>
                <c:pt idx="61">
                  <c:v>126.23337999999998</c:v>
                </c:pt>
                <c:pt idx="62">
                  <c:v>110.49613250000002</c:v>
                </c:pt>
                <c:pt idx="63">
                  <c:v>110.49613250000002</c:v>
                </c:pt>
                <c:pt idx="64">
                  <c:v>110.49613250000002</c:v>
                </c:pt>
                <c:pt idx="65">
                  <c:v>192.05517999999998</c:v>
                </c:pt>
                <c:pt idx="66">
                  <c:v>191.70850999999999</c:v>
                </c:pt>
                <c:pt idx="67">
                  <c:v>192.05517999999998</c:v>
                </c:pt>
                <c:pt idx="68">
                  <c:v>192.05517999999998</c:v>
                </c:pt>
                <c:pt idx="69">
                  <c:v>191.70850999999999</c:v>
                </c:pt>
                <c:pt idx="70">
                  <c:v>191.70850999999999</c:v>
                </c:pt>
                <c:pt idx="71">
                  <c:v>192.05517999999998</c:v>
                </c:pt>
                <c:pt idx="72">
                  <c:v>191.70850999999999</c:v>
                </c:pt>
                <c:pt idx="73">
                  <c:v>191.70850999999999</c:v>
                </c:pt>
                <c:pt idx="74">
                  <c:v>191.70850999999999</c:v>
                </c:pt>
                <c:pt idx="75">
                  <c:v>191.70850999999999</c:v>
                </c:pt>
                <c:pt idx="76">
                  <c:v>191.70850999999999</c:v>
                </c:pt>
                <c:pt idx="77">
                  <c:v>191.70850999999999</c:v>
                </c:pt>
                <c:pt idx="78">
                  <c:v>72.039727499999998</c:v>
                </c:pt>
                <c:pt idx="79">
                  <c:v>148.91450750000001</c:v>
                </c:pt>
                <c:pt idx="80">
                  <c:v>72.800749999999994</c:v>
                </c:pt>
                <c:pt idx="81">
                  <c:v>72.800749999999994</c:v>
                </c:pt>
                <c:pt idx="82">
                  <c:v>18.390449999999998</c:v>
                </c:pt>
                <c:pt idx="83">
                  <c:v>180.19919749999997</c:v>
                </c:pt>
                <c:pt idx="84">
                  <c:v>15.269111000000002</c:v>
                </c:pt>
                <c:pt idx="85">
                  <c:v>15.269111000000002</c:v>
                </c:pt>
                <c:pt idx="86">
                  <c:v>15.269111000000002</c:v>
                </c:pt>
                <c:pt idx="87">
                  <c:v>15.269111000000002</c:v>
                </c:pt>
                <c:pt idx="88">
                  <c:v>15.269111000000002</c:v>
                </c:pt>
                <c:pt idx="89">
                  <c:v>15.269111000000002</c:v>
                </c:pt>
                <c:pt idx="90">
                  <c:v>177.45035499999997</c:v>
                </c:pt>
                <c:pt idx="91">
                  <c:v>17.198499999999999</c:v>
                </c:pt>
                <c:pt idx="92">
                  <c:v>163.31404499999999</c:v>
                </c:pt>
                <c:pt idx="93">
                  <c:v>41.86155625</c:v>
                </c:pt>
                <c:pt idx="94">
                  <c:v>161.92876874999999</c:v>
                </c:pt>
                <c:pt idx="95">
                  <c:v>187.34993750000001</c:v>
                </c:pt>
                <c:pt idx="96">
                  <c:v>187.34993750000001</c:v>
                </c:pt>
                <c:pt idx="97">
                  <c:v>187.34993750000001</c:v>
                </c:pt>
                <c:pt idx="98">
                  <c:v>127.43368500000001</c:v>
                </c:pt>
                <c:pt idx="99">
                  <c:v>127.90392000000001</c:v>
                </c:pt>
                <c:pt idx="100">
                  <c:v>127.43368500000001</c:v>
                </c:pt>
                <c:pt idx="101">
                  <c:v>127.90392000000001</c:v>
                </c:pt>
                <c:pt idx="102">
                  <c:v>127.90392000000001</c:v>
                </c:pt>
                <c:pt idx="103">
                  <c:v>127.43368500000001</c:v>
                </c:pt>
                <c:pt idx="104">
                  <c:v>127.43368500000001</c:v>
                </c:pt>
                <c:pt idx="105">
                  <c:v>38.839709999999997</c:v>
                </c:pt>
                <c:pt idx="106">
                  <c:v>38.839709999999997</c:v>
                </c:pt>
                <c:pt idx="107">
                  <c:v>38.839709999999997</c:v>
                </c:pt>
                <c:pt idx="108">
                  <c:v>83.883600000000001</c:v>
                </c:pt>
                <c:pt idx="109">
                  <c:v>83.883600000000001</c:v>
                </c:pt>
                <c:pt idx="110">
                  <c:v>83.883600000000001</c:v>
                </c:pt>
                <c:pt idx="111">
                  <c:v>58.257329999999996</c:v>
                </c:pt>
                <c:pt idx="112">
                  <c:v>58.257329999999996</c:v>
                </c:pt>
                <c:pt idx="113">
                  <c:v>58.257329999999996</c:v>
                </c:pt>
                <c:pt idx="114">
                  <c:v>298.42135000000002</c:v>
                </c:pt>
                <c:pt idx="115">
                  <c:v>298.42135000000002</c:v>
                </c:pt>
                <c:pt idx="116">
                  <c:v>298.42135000000002</c:v>
                </c:pt>
                <c:pt idx="117">
                  <c:v>298.97810625000005</c:v>
                </c:pt>
                <c:pt idx="118">
                  <c:v>298.42135000000002</c:v>
                </c:pt>
                <c:pt idx="119">
                  <c:v>298.42135000000002</c:v>
                </c:pt>
                <c:pt idx="120">
                  <c:v>298.42135000000002</c:v>
                </c:pt>
                <c:pt idx="121">
                  <c:v>506.30451749999997</c:v>
                </c:pt>
                <c:pt idx="122">
                  <c:v>506.30451749999997</c:v>
                </c:pt>
                <c:pt idx="123">
                  <c:v>506.30451749999997</c:v>
                </c:pt>
                <c:pt idx="124">
                  <c:v>506.30451749999997</c:v>
                </c:pt>
                <c:pt idx="125">
                  <c:v>506.30451749999997</c:v>
                </c:pt>
                <c:pt idx="126">
                  <c:v>506.30451749999997</c:v>
                </c:pt>
                <c:pt idx="127">
                  <c:v>457.5348224999999</c:v>
                </c:pt>
                <c:pt idx="128">
                  <c:v>457.5348224999999</c:v>
                </c:pt>
                <c:pt idx="129">
                  <c:v>457.5348224999999</c:v>
                </c:pt>
                <c:pt idx="130">
                  <c:v>457.5348224999999</c:v>
                </c:pt>
                <c:pt idx="131">
                  <c:v>457.5348224999999</c:v>
                </c:pt>
                <c:pt idx="132">
                  <c:v>457.5348224999999</c:v>
                </c:pt>
                <c:pt idx="133">
                  <c:v>457.5348224999999</c:v>
                </c:pt>
                <c:pt idx="134">
                  <c:v>406.29723749999994</c:v>
                </c:pt>
                <c:pt idx="135">
                  <c:v>406.29723749999994</c:v>
                </c:pt>
                <c:pt idx="136">
                  <c:v>406.29723749999994</c:v>
                </c:pt>
                <c:pt idx="137">
                  <c:v>498.16163249999994</c:v>
                </c:pt>
                <c:pt idx="138">
                  <c:v>498.16163249999994</c:v>
                </c:pt>
                <c:pt idx="139">
                  <c:v>498.16163249999994</c:v>
                </c:pt>
                <c:pt idx="140">
                  <c:v>498.16163249999994</c:v>
                </c:pt>
                <c:pt idx="141">
                  <c:v>498.16163249999994</c:v>
                </c:pt>
                <c:pt idx="142">
                  <c:v>498.16163249999994</c:v>
                </c:pt>
                <c:pt idx="143">
                  <c:v>244.73821749999993</c:v>
                </c:pt>
                <c:pt idx="144">
                  <c:v>244.73821749999993</c:v>
                </c:pt>
                <c:pt idx="145">
                  <c:v>244.73821749999993</c:v>
                </c:pt>
                <c:pt idx="146">
                  <c:v>313.06831499999998</c:v>
                </c:pt>
                <c:pt idx="147">
                  <c:v>313.06831499999998</c:v>
                </c:pt>
                <c:pt idx="148">
                  <c:v>313.06831499999998</c:v>
                </c:pt>
                <c:pt idx="149">
                  <c:v>313.06831499999998</c:v>
                </c:pt>
                <c:pt idx="150">
                  <c:v>313.06831499999998</c:v>
                </c:pt>
                <c:pt idx="151">
                  <c:v>313.06831499999998</c:v>
                </c:pt>
                <c:pt idx="152">
                  <c:v>313.06831499999998</c:v>
                </c:pt>
                <c:pt idx="153">
                  <c:v>569.67538499999989</c:v>
                </c:pt>
                <c:pt idx="154">
                  <c:v>569.67538499999989</c:v>
                </c:pt>
                <c:pt idx="155">
                  <c:v>569.67538499999989</c:v>
                </c:pt>
                <c:pt idx="156">
                  <c:v>569.67538499999989</c:v>
                </c:pt>
                <c:pt idx="157">
                  <c:v>363.38521999999995</c:v>
                </c:pt>
                <c:pt idx="158">
                  <c:v>363.38521999999995</c:v>
                </c:pt>
                <c:pt idx="159">
                  <c:v>363.38521999999995</c:v>
                </c:pt>
                <c:pt idx="160">
                  <c:v>363.38521999999995</c:v>
                </c:pt>
                <c:pt idx="161">
                  <c:v>363.38521999999995</c:v>
                </c:pt>
                <c:pt idx="162">
                  <c:v>363.38521999999995</c:v>
                </c:pt>
                <c:pt idx="163">
                  <c:v>114.66224499999998</c:v>
                </c:pt>
                <c:pt idx="164">
                  <c:v>114.66224499999998</c:v>
                </c:pt>
                <c:pt idx="165">
                  <c:v>122.96760499999999</c:v>
                </c:pt>
                <c:pt idx="166">
                  <c:v>122.96760499999999</c:v>
                </c:pt>
                <c:pt idx="167">
                  <c:v>122.96760499999999</c:v>
                </c:pt>
                <c:pt idx="168">
                  <c:v>122.96760499999999</c:v>
                </c:pt>
                <c:pt idx="169">
                  <c:v>129.69653500000001</c:v>
                </c:pt>
                <c:pt idx="170">
                  <c:v>129.69653500000001</c:v>
                </c:pt>
                <c:pt idx="171">
                  <c:v>129.69653500000001</c:v>
                </c:pt>
                <c:pt idx="172">
                  <c:v>129.69653500000001</c:v>
                </c:pt>
                <c:pt idx="173">
                  <c:v>167.16933750000001</c:v>
                </c:pt>
                <c:pt idx="174">
                  <c:v>167.16933750000001</c:v>
                </c:pt>
                <c:pt idx="175">
                  <c:v>167.16933750000001</c:v>
                </c:pt>
                <c:pt idx="176">
                  <c:v>173.94541499999997</c:v>
                </c:pt>
                <c:pt idx="177">
                  <c:v>143.64675</c:v>
                </c:pt>
                <c:pt idx="178">
                  <c:v>143.64675</c:v>
                </c:pt>
                <c:pt idx="179">
                  <c:v>143.64675</c:v>
                </c:pt>
                <c:pt idx="180">
                  <c:v>143.64675</c:v>
                </c:pt>
                <c:pt idx="181">
                  <c:v>152.12084499999997</c:v>
                </c:pt>
                <c:pt idx="182">
                  <c:v>152.12084499999997</c:v>
                </c:pt>
                <c:pt idx="183">
                  <c:v>152.12084499999997</c:v>
                </c:pt>
                <c:pt idx="184">
                  <c:v>152.12084499999997</c:v>
                </c:pt>
                <c:pt idx="185">
                  <c:v>87.642674999999983</c:v>
                </c:pt>
                <c:pt idx="186">
                  <c:v>87.642674999999983</c:v>
                </c:pt>
                <c:pt idx="187">
                  <c:v>168.0724385</c:v>
                </c:pt>
                <c:pt idx="188">
                  <c:v>168.0724385</c:v>
                </c:pt>
                <c:pt idx="189">
                  <c:v>168.0724385</c:v>
                </c:pt>
                <c:pt idx="190">
                  <c:v>168.0724385</c:v>
                </c:pt>
                <c:pt idx="191">
                  <c:v>168.0724385</c:v>
                </c:pt>
                <c:pt idx="192">
                  <c:v>168.0724385</c:v>
                </c:pt>
                <c:pt idx="193">
                  <c:v>168.0724385</c:v>
                </c:pt>
                <c:pt idx="194">
                  <c:v>107.31490000000001</c:v>
                </c:pt>
                <c:pt idx="195">
                  <c:v>106.91670000000001</c:v>
                </c:pt>
                <c:pt idx="196">
                  <c:v>107.31490000000001</c:v>
                </c:pt>
                <c:pt idx="197">
                  <c:v>106.91670000000001</c:v>
                </c:pt>
                <c:pt idx="198">
                  <c:v>106.91670000000001</c:v>
                </c:pt>
                <c:pt idx="199">
                  <c:v>107.31490000000001</c:v>
                </c:pt>
                <c:pt idx="200">
                  <c:v>106.91670000000001</c:v>
                </c:pt>
                <c:pt idx="201">
                  <c:v>106.91670000000001</c:v>
                </c:pt>
                <c:pt idx="202">
                  <c:v>106.91670000000001</c:v>
                </c:pt>
                <c:pt idx="203">
                  <c:v>233.88680000000002</c:v>
                </c:pt>
                <c:pt idx="204">
                  <c:v>197.9802</c:v>
                </c:pt>
                <c:pt idx="205">
                  <c:v>181.99147500000001</c:v>
                </c:pt>
                <c:pt idx="206">
                  <c:v>152.62719999999999</c:v>
                </c:pt>
                <c:pt idx="207">
                  <c:v>221.54886849999997</c:v>
                </c:pt>
                <c:pt idx="208">
                  <c:v>221.54886849999997</c:v>
                </c:pt>
                <c:pt idx="209">
                  <c:v>278.52098749999999</c:v>
                </c:pt>
                <c:pt idx="210">
                  <c:v>278.52098749999999</c:v>
                </c:pt>
                <c:pt idx="211">
                  <c:v>164.26881</c:v>
                </c:pt>
                <c:pt idx="212">
                  <c:v>164.26881</c:v>
                </c:pt>
                <c:pt idx="213">
                  <c:v>242.06433299999992</c:v>
                </c:pt>
                <c:pt idx="214">
                  <c:v>306.08612025000002</c:v>
                </c:pt>
                <c:pt idx="215">
                  <c:v>306.08612025000002</c:v>
                </c:pt>
                <c:pt idx="216">
                  <c:v>306.08612025000002</c:v>
                </c:pt>
                <c:pt idx="217">
                  <c:v>265.48389499999996</c:v>
                </c:pt>
                <c:pt idx="218">
                  <c:v>265.48389499999996</c:v>
                </c:pt>
                <c:pt idx="219">
                  <c:v>265.48389499999996</c:v>
                </c:pt>
                <c:pt idx="220">
                  <c:v>265.48389499999996</c:v>
                </c:pt>
                <c:pt idx="221">
                  <c:v>265.48389499999996</c:v>
                </c:pt>
                <c:pt idx="222">
                  <c:v>265.48389499999996</c:v>
                </c:pt>
                <c:pt idx="223">
                  <c:v>265.48389499999996</c:v>
                </c:pt>
                <c:pt idx="224">
                  <c:v>246.34108799999993</c:v>
                </c:pt>
                <c:pt idx="225">
                  <c:v>246.34108799999993</c:v>
                </c:pt>
                <c:pt idx="226">
                  <c:v>315.73969049999999</c:v>
                </c:pt>
                <c:pt idx="227">
                  <c:v>315.73969049999999</c:v>
                </c:pt>
                <c:pt idx="228">
                  <c:v>315.73969049999999</c:v>
                </c:pt>
                <c:pt idx="229">
                  <c:v>315.73969049999999</c:v>
                </c:pt>
                <c:pt idx="230">
                  <c:v>315.73969049999999</c:v>
                </c:pt>
                <c:pt idx="231">
                  <c:v>315.73969049999999</c:v>
                </c:pt>
                <c:pt idx="232">
                  <c:v>315.73969049999999</c:v>
                </c:pt>
                <c:pt idx="233">
                  <c:v>315.73969049999999</c:v>
                </c:pt>
                <c:pt idx="234">
                  <c:v>315.73969049999999</c:v>
                </c:pt>
                <c:pt idx="235">
                  <c:v>315.73969049999999</c:v>
                </c:pt>
                <c:pt idx="236">
                  <c:v>302.12480775</c:v>
                </c:pt>
                <c:pt idx="237">
                  <c:v>302.12480775</c:v>
                </c:pt>
                <c:pt idx="238">
                  <c:v>278.19145125</c:v>
                </c:pt>
                <c:pt idx="239">
                  <c:v>278.19145125</c:v>
                </c:pt>
                <c:pt idx="240">
                  <c:v>278.19145125</c:v>
                </c:pt>
                <c:pt idx="241">
                  <c:v>278.19145125</c:v>
                </c:pt>
                <c:pt idx="242">
                  <c:v>306.04453425000003</c:v>
                </c:pt>
                <c:pt idx="243">
                  <c:v>306.04453425000003</c:v>
                </c:pt>
                <c:pt idx="244">
                  <c:v>306.04453425000003</c:v>
                </c:pt>
                <c:pt idx="245">
                  <c:v>306.04453425000003</c:v>
                </c:pt>
                <c:pt idx="246">
                  <c:v>265.13480000000004</c:v>
                </c:pt>
                <c:pt idx="247">
                  <c:v>265.13480000000004</c:v>
                </c:pt>
                <c:pt idx="248">
                  <c:v>274.60441774999998</c:v>
                </c:pt>
                <c:pt idx="249">
                  <c:v>274.60441774999998</c:v>
                </c:pt>
                <c:pt idx="250">
                  <c:v>274.60441774999998</c:v>
                </c:pt>
                <c:pt idx="251">
                  <c:v>274.60441774999998</c:v>
                </c:pt>
                <c:pt idx="252">
                  <c:v>274.60441774999998</c:v>
                </c:pt>
                <c:pt idx="253">
                  <c:v>108.72367249999999</c:v>
                </c:pt>
                <c:pt idx="254">
                  <c:v>103.46720999999999</c:v>
                </c:pt>
                <c:pt idx="255">
                  <c:v>237.4033</c:v>
                </c:pt>
                <c:pt idx="256">
                  <c:v>519.12275</c:v>
                </c:pt>
              </c:numCache>
            </c:numRef>
          </c:xVal>
          <c:yVal>
            <c:numRef>
              <c:f>Foglio3!$H$7:$H$263</c:f>
              <c:numCache>
                <c:formatCode>General</c:formatCode>
                <c:ptCount val="257"/>
                <c:pt idx="0">
                  <c:v>1056.1000000000001</c:v>
                </c:pt>
                <c:pt idx="1">
                  <c:v>2056.15</c:v>
                </c:pt>
                <c:pt idx="2">
                  <c:v>2035.5000000000002</c:v>
                </c:pt>
                <c:pt idx="3">
                  <c:v>973.50000000000011</c:v>
                </c:pt>
                <c:pt idx="4">
                  <c:v>731.6</c:v>
                </c:pt>
                <c:pt idx="5">
                  <c:v>967.6</c:v>
                </c:pt>
                <c:pt idx="6">
                  <c:v>1144.6000000000001</c:v>
                </c:pt>
                <c:pt idx="7">
                  <c:v>1221.3000000000002</c:v>
                </c:pt>
                <c:pt idx="8">
                  <c:v>1138.7</c:v>
                </c:pt>
                <c:pt idx="9">
                  <c:v>1746.4</c:v>
                </c:pt>
                <c:pt idx="10">
                  <c:v>1516.3000000000002</c:v>
                </c:pt>
                <c:pt idx="11">
                  <c:v>1023.6500000000001</c:v>
                </c:pt>
                <c:pt idx="12">
                  <c:v>1286.2</c:v>
                </c:pt>
                <c:pt idx="13">
                  <c:v>651.95000000000005</c:v>
                </c:pt>
                <c:pt idx="14">
                  <c:v>1020.7</c:v>
                </c:pt>
                <c:pt idx="15">
                  <c:v>731.6</c:v>
                </c:pt>
                <c:pt idx="16">
                  <c:v>938.1</c:v>
                </c:pt>
                <c:pt idx="17">
                  <c:v>1746.4</c:v>
                </c:pt>
                <c:pt idx="18">
                  <c:v>1374.7</c:v>
                </c:pt>
                <c:pt idx="19">
                  <c:v>1014.8000000000001</c:v>
                </c:pt>
                <c:pt idx="20">
                  <c:v>944</c:v>
                </c:pt>
                <c:pt idx="21">
                  <c:v>887.95</c:v>
                </c:pt>
                <c:pt idx="22">
                  <c:v>769.95</c:v>
                </c:pt>
                <c:pt idx="23">
                  <c:v>1652</c:v>
                </c:pt>
                <c:pt idx="24">
                  <c:v>531</c:v>
                </c:pt>
                <c:pt idx="25">
                  <c:v>531</c:v>
                </c:pt>
                <c:pt idx="26">
                  <c:v>487.04500000000002</c:v>
                </c:pt>
                <c:pt idx="27">
                  <c:v>1209.5</c:v>
                </c:pt>
                <c:pt idx="28">
                  <c:v>1424.8500000000001</c:v>
                </c:pt>
                <c:pt idx="29">
                  <c:v>1495.65</c:v>
                </c:pt>
                <c:pt idx="30">
                  <c:v>973.50000000000011</c:v>
                </c:pt>
                <c:pt idx="31">
                  <c:v>1424.8500000000001</c:v>
                </c:pt>
                <c:pt idx="32">
                  <c:v>1180</c:v>
                </c:pt>
                <c:pt idx="33">
                  <c:v>1359.95</c:v>
                </c:pt>
                <c:pt idx="34">
                  <c:v>826</c:v>
                </c:pt>
                <c:pt idx="35">
                  <c:v>826</c:v>
                </c:pt>
                <c:pt idx="36">
                  <c:v>855.5</c:v>
                </c:pt>
                <c:pt idx="37">
                  <c:v>324.79500000000002</c:v>
                </c:pt>
                <c:pt idx="38">
                  <c:v>769.95</c:v>
                </c:pt>
                <c:pt idx="39">
                  <c:v>489.995</c:v>
                </c:pt>
                <c:pt idx="40">
                  <c:v>1097.4000000000001</c:v>
                </c:pt>
                <c:pt idx="41">
                  <c:v>1088.55</c:v>
                </c:pt>
                <c:pt idx="42">
                  <c:v>1091.5</c:v>
                </c:pt>
                <c:pt idx="43">
                  <c:v>1014.8000000000001</c:v>
                </c:pt>
                <c:pt idx="44">
                  <c:v>887.95</c:v>
                </c:pt>
                <c:pt idx="45">
                  <c:v>973.50000000000011</c:v>
                </c:pt>
                <c:pt idx="46">
                  <c:v>206.5</c:v>
                </c:pt>
                <c:pt idx="47">
                  <c:v>297.95000000000005</c:v>
                </c:pt>
                <c:pt idx="48">
                  <c:v>297.95000000000005</c:v>
                </c:pt>
                <c:pt idx="50">
                  <c:v>734.55000000000007</c:v>
                </c:pt>
                <c:pt idx="51">
                  <c:v>1416</c:v>
                </c:pt>
                <c:pt idx="52">
                  <c:v>769.95</c:v>
                </c:pt>
                <c:pt idx="53">
                  <c:v>769.95</c:v>
                </c:pt>
                <c:pt idx="54">
                  <c:v>1180</c:v>
                </c:pt>
                <c:pt idx="55">
                  <c:v>1593</c:v>
                </c:pt>
                <c:pt idx="56">
                  <c:v>2253.8000000000002</c:v>
                </c:pt>
                <c:pt idx="57">
                  <c:v>2301</c:v>
                </c:pt>
                <c:pt idx="58">
                  <c:v>2236.1</c:v>
                </c:pt>
                <c:pt idx="59">
                  <c:v>2236.1</c:v>
                </c:pt>
                <c:pt idx="60">
                  <c:v>2236.1</c:v>
                </c:pt>
                <c:pt idx="61">
                  <c:v>2177.1</c:v>
                </c:pt>
                <c:pt idx="62">
                  <c:v>1371.75</c:v>
                </c:pt>
                <c:pt idx="63">
                  <c:v>1371.75</c:v>
                </c:pt>
                <c:pt idx="64">
                  <c:v>1371.75</c:v>
                </c:pt>
                <c:pt idx="65">
                  <c:v>442.5</c:v>
                </c:pt>
                <c:pt idx="66">
                  <c:v>1829</c:v>
                </c:pt>
                <c:pt idx="67">
                  <c:v>1749.3500000000001</c:v>
                </c:pt>
                <c:pt idx="68">
                  <c:v>1829</c:v>
                </c:pt>
                <c:pt idx="69">
                  <c:v>2230.2000000000003</c:v>
                </c:pt>
                <c:pt idx="70">
                  <c:v>2094.5</c:v>
                </c:pt>
                <c:pt idx="71">
                  <c:v>1705.1000000000001</c:v>
                </c:pt>
                <c:pt idx="72">
                  <c:v>1362.9</c:v>
                </c:pt>
                <c:pt idx="73">
                  <c:v>2141.7000000000003</c:v>
                </c:pt>
                <c:pt idx="74">
                  <c:v>1967.65</c:v>
                </c:pt>
                <c:pt idx="75">
                  <c:v>1911.6000000000001</c:v>
                </c:pt>
                <c:pt idx="76">
                  <c:v>2339.3500000000004</c:v>
                </c:pt>
                <c:pt idx="77">
                  <c:v>2398.3500000000004</c:v>
                </c:pt>
                <c:pt idx="78">
                  <c:v>1371.75</c:v>
                </c:pt>
                <c:pt idx="79">
                  <c:v>2032.5500000000002</c:v>
                </c:pt>
                <c:pt idx="80">
                  <c:v>330.40000000000003</c:v>
                </c:pt>
                <c:pt idx="81">
                  <c:v>1147.5500000000002</c:v>
                </c:pt>
                <c:pt idx="82">
                  <c:v>2563.5500000000002</c:v>
                </c:pt>
                <c:pt idx="83">
                  <c:v>2280.3500000000004</c:v>
                </c:pt>
                <c:pt idx="84">
                  <c:v>1539.9</c:v>
                </c:pt>
                <c:pt idx="85">
                  <c:v>1967.65</c:v>
                </c:pt>
                <c:pt idx="86">
                  <c:v>1831.95</c:v>
                </c:pt>
                <c:pt idx="87">
                  <c:v>1669.7</c:v>
                </c:pt>
                <c:pt idx="88">
                  <c:v>1770</c:v>
                </c:pt>
                <c:pt idx="89">
                  <c:v>2056.15</c:v>
                </c:pt>
                <c:pt idx="90">
                  <c:v>2138.75</c:v>
                </c:pt>
                <c:pt idx="91">
                  <c:v>2295.1000000000004</c:v>
                </c:pt>
                <c:pt idx="92">
                  <c:v>1775.9</c:v>
                </c:pt>
                <c:pt idx="93">
                  <c:v>2360</c:v>
                </c:pt>
                <c:pt idx="94">
                  <c:v>1749.3500000000001</c:v>
                </c:pt>
                <c:pt idx="95">
                  <c:v>1652</c:v>
                </c:pt>
                <c:pt idx="96">
                  <c:v>2065</c:v>
                </c:pt>
                <c:pt idx="97">
                  <c:v>2065</c:v>
                </c:pt>
                <c:pt idx="98">
                  <c:v>345.74</c:v>
                </c:pt>
                <c:pt idx="99">
                  <c:v>1510.4</c:v>
                </c:pt>
                <c:pt idx="100">
                  <c:v>929.25</c:v>
                </c:pt>
                <c:pt idx="101">
                  <c:v>1097.4000000000001</c:v>
                </c:pt>
                <c:pt idx="102">
                  <c:v>1359.95</c:v>
                </c:pt>
                <c:pt idx="103">
                  <c:v>1477.95</c:v>
                </c:pt>
                <c:pt idx="104">
                  <c:v>366.39000000000004</c:v>
                </c:pt>
                <c:pt idx="105">
                  <c:v>826</c:v>
                </c:pt>
                <c:pt idx="106">
                  <c:v>1062</c:v>
                </c:pt>
                <c:pt idx="107">
                  <c:v>265.5</c:v>
                </c:pt>
                <c:pt idx="108">
                  <c:v>887.95</c:v>
                </c:pt>
                <c:pt idx="109">
                  <c:v>1150.5</c:v>
                </c:pt>
                <c:pt idx="110">
                  <c:v>533.95000000000005</c:v>
                </c:pt>
                <c:pt idx="111">
                  <c:v>855.5</c:v>
                </c:pt>
                <c:pt idx="112">
                  <c:v>973.50000000000011</c:v>
                </c:pt>
                <c:pt idx="113">
                  <c:v>265.5</c:v>
                </c:pt>
                <c:pt idx="114">
                  <c:v>625.40000000000009</c:v>
                </c:pt>
                <c:pt idx="115">
                  <c:v>1451.4</c:v>
                </c:pt>
                <c:pt idx="116">
                  <c:v>955.80000000000007</c:v>
                </c:pt>
                <c:pt idx="117">
                  <c:v>1067.9000000000001</c:v>
                </c:pt>
                <c:pt idx="118">
                  <c:v>1241.95</c:v>
                </c:pt>
                <c:pt idx="119">
                  <c:v>1371.75</c:v>
                </c:pt>
                <c:pt idx="120">
                  <c:v>409.75500000000005</c:v>
                </c:pt>
                <c:pt idx="121">
                  <c:v>873.2</c:v>
                </c:pt>
                <c:pt idx="122">
                  <c:v>690.30000000000007</c:v>
                </c:pt>
                <c:pt idx="123">
                  <c:v>1221.3000000000002</c:v>
                </c:pt>
                <c:pt idx="124">
                  <c:v>1454.3500000000001</c:v>
                </c:pt>
                <c:pt idx="125">
                  <c:v>1669.7</c:v>
                </c:pt>
                <c:pt idx="126">
                  <c:v>710.95</c:v>
                </c:pt>
                <c:pt idx="127">
                  <c:v>899.75</c:v>
                </c:pt>
                <c:pt idx="128">
                  <c:v>651.95000000000005</c:v>
                </c:pt>
                <c:pt idx="129">
                  <c:v>1138.7</c:v>
                </c:pt>
                <c:pt idx="130">
                  <c:v>1416</c:v>
                </c:pt>
                <c:pt idx="131">
                  <c:v>1584.15</c:v>
                </c:pt>
                <c:pt idx="132">
                  <c:v>1758.2</c:v>
                </c:pt>
                <c:pt idx="133">
                  <c:v>601.80000000000007</c:v>
                </c:pt>
                <c:pt idx="134">
                  <c:v>1209.5</c:v>
                </c:pt>
                <c:pt idx="135">
                  <c:v>1386.5</c:v>
                </c:pt>
                <c:pt idx="136">
                  <c:v>651.95000000000005</c:v>
                </c:pt>
                <c:pt idx="137">
                  <c:v>1483.8500000000001</c:v>
                </c:pt>
                <c:pt idx="138">
                  <c:v>1560.5500000000002</c:v>
                </c:pt>
                <c:pt idx="139">
                  <c:v>2318.7000000000003</c:v>
                </c:pt>
                <c:pt idx="140">
                  <c:v>1380.6000000000001</c:v>
                </c:pt>
                <c:pt idx="141">
                  <c:v>1669.7</c:v>
                </c:pt>
                <c:pt idx="142">
                  <c:v>843.7</c:v>
                </c:pt>
                <c:pt idx="143">
                  <c:v>1123.95</c:v>
                </c:pt>
                <c:pt idx="144">
                  <c:v>1416</c:v>
                </c:pt>
                <c:pt idx="145">
                  <c:v>401.20000000000005</c:v>
                </c:pt>
                <c:pt idx="146">
                  <c:v>814.2</c:v>
                </c:pt>
                <c:pt idx="147">
                  <c:v>610.65000000000009</c:v>
                </c:pt>
                <c:pt idx="148">
                  <c:v>1209.5</c:v>
                </c:pt>
                <c:pt idx="149">
                  <c:v>1386.5</c:v>
                </c:pt>
                <c:pt idx="150">
                  <c:v>1035.45</c:v>
                </c:pt>
                <c:pt idx="151">
                  <c:v>1197.7</c:v>
                </c:pt>
                <c:pt idx="152">
                  <c:v>515.36500000000001</c:v>
                </c:pt>
                <c:pt idx="153">
                  <c:v>1112.1500000000001</c:v>
                </c:pt>
                <c:pt idx="154">
                  <c:v>769.95</c:v>
                </c:pt>
                <c:pt idx="155">
                  <c:v>1241.95</c:v>
                </c:pt>
                <c:pt idx="156">
                  <c:v>690.30000000000007</c:v>
                </c:pt>
                <c:pt idx="157">
                  <c:v>979.40000000000009</c:v>
                </c:pt>
                <c:pt idx="158">
                  <c:v>1115.1000000000001</c:v>
                </c:pt>
                <c:pt idx="159">
                  <c:v>1250.8000000000002</c:v>
                </c:pt>
                <c:pt idx="160">
                  <c:v>1404.2</c:v>
                </c:pt>
                <c:pt idx="161">
                  <c:v>1631.3500000000001</c:v>
                </c:pt>
                <c:pt idx="162">
                  <c:v>590</c:v>
                </c:pt>
                <c:pt idx="163">
                  <c:v>669.65000000000009</c:v>
                </c:pt>
                <c:pt idx="164">
                  <c:v>1534</c:v>
                </c:pt>
                <c:pt idx="165">
                  <c:v>640.15000000000009</c:v>
                </c:pt>
                <c:pt idx="166">
                  <c:v>651.95000000000005</c:v>
                </c:pt>
                <c:pt idx="167">
                  <c:v>1277.3500000000001</c:v>
                </c:pt>
                <c:pt idx="168">
                  <c:v>1436.65</c:v>
                </c:pt>
                <c:pt idx="169">
                  <c:v>342.20000000000005</c:v>
                </c:pt>
                <c:pt idx="170">
                  <c:v>743.40000000000009</c:v>
                </c:pt>
                <c:pt idx="171">
                  <c:v>1831.95</c:v>
                </c:pt>
                <c:pt idx="172">
                  <c:v>1534</c:v>
                </c:pt>
                <c:pt idx="173">
                  <c:v>359.90000000000003</c:v>
                </c:pt>
                <c:pt idx="174">
                  <c:v>1044.3</c:v>
                </c:pt>
                <c:pt idx="175">
                  <c:v>2135.8000000000002</c:v>
                </c:pt>
                <c:pt idx="176">
                  <c:v>2070.9</c:v>
                </c:pt>
                <c:pt idx="177">
                  <c:v>295.88499999999999</c:v>
                </c:pt>
                <c:pt idx="178">
                  <c:v>532.47500000000002</c:v>
                </c:pt>
                <c:pt idx="179">
                  <c:v>415.36000000000007</c:v>
                </c:pt>
                <c:pt idx="180">
                  <c:v>1091.5</c:v>
                </c:pt>
                <c:pt idx="181">
                  <c:v>837.80000000000007</c:v>
                </c:pt>
                <c:pt idx="182">
                  <c:v>784.7</c:v>
                </c:pt>
                <c:pt idx="183">
                  <c:v>1067.9000000000001</c:v>
                </c:pt>
                <c:pt idx="184">
                  <c:v>1713.95</c:v>
                </c:pt>
                <c:pt idx="185">
                  <c:v>383.5</c:v>
                </c:pt>
                <c:pt idx="186">
                  <c:v>958.75000000000011</c:v>
                </c:pt>
                <c:pt idx="187">
                  <c:v>591.77</c:v>
                </c:pt>
                <c:pt idx="188">
                  <c:v>591.77</c:v>
                </c:pt>
                <c:pt idx="189">
                  <c:v>702.1</c:v>
                </c:pt>
                <c:pt idx="190">
                  <c:v>1534</c:v>
                </c:pt>
                <c:pt idx="191">
                  <c:v>1495.65</c:v>
                </c:pt>
                <c:pt idx="192">
                  <c:v>1539.9</c:v>
                </c:pt>
                <c:pt idx="193">
                  <c:v>1539.9</c:v>
                </c:pt>
                <c:pt idx="194">
                  <c:v>295.88499999999999</c:v>
                </c:pt>
                <c:pt idx="195">
                  <c:v>383.5</c:v>
                </c:pt>
                <c:pt idx="196">
                  <c:v>447.22</c:v>
                </c:pt>
                <c:pt idx="197">
                  <c:v>702.1</c:v>
                </c:pt>
                <c:pt idx="198">
                  <c:v>1085.6000000000001</c:v>
                </c:pt>
                <c:pt idx="199">
                  <c:v>1418.95</c:v>
                </c:pt>
                <c:pt idx="200">
                  <c:v>1421.9</c:v>
                </c:pt>
                <c:pt idx="201">
                  <c:v>1097.4000000000001</c:v>
                </c:pt>
                <c:pt idx="202">
                  <c:v>1587.1000000000001</c:v>
                </c:pt>
                <c:pt idx="203">
                  <c:v>1917.5000000000002</c:v>
                </c:pt>
                <c:pt idx="204">
                  <c:v>1982.4</c:v>
                </c:pt>
                <c:pt idx="205">
                  <c:v>734.55000000000007</c:v>
                </c:pt>
                <c:pt idx="206">
                  <c:v>1628.4</c:v>
                </c:pt>
                <c:pt idx="207">
                  <c:v>1534</c:v>
                </c:pt>
                <c:pt idx="208">
                  <c:v>1982.4</c:v>
                </c:pt>
                <c:pt idx="209">
                  <c:v>2318.7000000000003</c:v>
                </c:pt>
                <c:pt idx="210">
                  <c:v>2419</c:v>
                </c:pt>
                <c:pt idx="211">
                  <c:v>1858.5</c:v>
                </c:pt>
                <c:pt idx="212">
                  <c:v>1976.5000000000002</c:v>
                </c:pt>
                <c:pt idx="213">
                  <c:v>2374.75</c:v>
                </c:pt>
                <c:pt idx="214">
                  <c:v>2419</c:v>
                </c:pt>
                <c:pt idx="215">
                  <c:v>2419</c:v>
                </c:pt>
                <c:pt idx="216">
                  <c:v>2483.9</c:v>
                </c:pt>
                <c:pt idx="217">
                  <c:v>2280.3500000000004</c:v>
                </c:pt>
                <c:pt idx="218">
                  <c:v>2357.0500000000002</c:v>
                </c:pt>
                <c:pt idx="219">
                  <c:v>2522.25</c:v>
                </c:pt>
                <c:pt idx="220">
                  <c:v>2377.7000000000003</c:v>
                </c:pt>
                <c:pt idx="221">
                  <c:v>2298.0500000000002</c:v>
                </c:pt>
                <c:pt idx="222">
                  <c:v>2646.15</c:v>
                </c:pt>
                <c:pt idx="223">
                  <c:v>2646.15</c:v>
                </c:pt>
                <c:pt idx="224">
                  <c:v>3442.65</c:v>
                </c:pt>
                <c:pt idx="225">
                  <c:v>3448.55</c:v>
                </c:pt>
                <c:pt idx="226">
                  <c:v>2501.6000000000004</c:v>
                </c:pt>
                <c:pt idx="227">
                  <c:v>2622.55</c:v>
                </c:pt>
                <c:pt idx="228">
                  <c:v>2501.6000000000004</c:v>
                </c:pt>
                <c:pt idx="229">
                  <c:v>2480.9500000000003</c:v>
                </c:pt>
                <c:pt idx="230">
                  <c:v>2460.3000000000002</c:v>
                </c:pt>
                <c:pt idx="231">
                  <c:v>2215.4500000000003</c:v>
                </c:pt>
                <c:pt idx="232">
                  <c:v>2135.8000000000002</c:v>
                </c:pt>
                <c:pt idx="233">
                  <c:v>2094.5</c:v>
                </c:pt>
                <c:pt idx="234">
                  <c:v>2501.6000000000004</c:v>
                </c:pt>
                <c:pt idx="235">
                  <c:v>2398.3500000000004</c:v>
                </c:pt>
                <c:pt idx="236">
                  <c:v>2419</c:v>
                </c:pt>
                <c:pt idx="237">
                  <c:v>2483.9</c:v>
                </c:pt>
                <c:pt idx="238">
                  <c:v>3253.8500000000004</c:v>
                </c:pt>
                <c:pt idx="239">
                  <c:v>3174.2000000000003</c:v>
                </c:pt>
                <c:pt idx="240">
                  <c:v>2950</c:v>
                </c:pt>
                <c:pt idx="241">
                  <c:v>3253.8500000000004</c:v>
                </c:pt>
                <c:pt idx="242">
                  <c:v>2888.05</c:v>
                </c:pt>
                <c:pt idx="243">
                  <c:v>2259.7000000000003</c:v>
                </c:pt>
                <c:pt idx="244">
                  <c:v>2421.9500000000003</c:v>
                </c:pt>
                <c:pt idx="245">
                  <c:v>2177.1</c:v>
                </c:pt>
                <c:pt idx="246">
                  <c:v>2460.3000000000002</c:v>
                </c:pt>
                <c:pt idx="247">
                  <c:v>3124.05</c:v>
                </c:pt>
                <c:pt idx="248">
                  <c:v>2563.5500000000002</c:v>
                </c:pt>
                <c:pt idx="249">
                  <c:v>2870.3500000000004</c:v>
                </c:pt>
                <c:pt idx="250">
                  <c:v>2277.4</c:v>
                </c:pt>
                <c:pt idx="251">
                  <c:v>2398.3500000000004</c:v>
                </c:pt>
                <c:pt idx="252">
                  <c:v>2528.15</c:v>
                </c:pt>
                <c:pt idx="253">
                  <c:v>2610.75</c:v>
                </c:pt>
                <c:pt idx="254">
                  <c:v>2787.75</c:v>
                </c:pt>
                <c:pt idx="255">
                  <c:v>2360</c:v>
                </c:pt>
                <c:pt idx="256">
                  <c:v>2360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FC5-284C-8CC8-BD5926EBBEF4}"/>
            </c:ext>
          </c:extLst>
        </c:ser>
        <c:ser>
          <c:idx val="2"/>
          <c:order val="2"/>
          <c:tx>
            <c:v>Magnesium alloys</c:v>
          </c:tx>
          <c:spPr>
            <a:ln w="31750">
              <a:noFill/>
            </a:ln>
          </c:spPr>
          <c:marker>
            <c:spPr>
              <a:solidFill>
                <a:srgbClr val="004394"/>
              </a:solidFill>
              <a:ln>
                <a:noFill/>
              </a:ln>
            </c:spPr>
          </c:marker>
          <c:xVal>
            <c:numRef>
              <c:f>[1]Foglio3!$G$3:$G$42</c:f>
              <c:numCache>
                <c:formatCode>General</c:formatCode>
                <c:ptCount val="40"/>
                <c:pt idx="0">
                  <c:v>6955.2772524999991</c:v>
                </c:pt>
                <c:pt idx="1">
                  <c:v>7039.9938700000002</c:v>
                </c:pt>
                <c:pt idx="2">
                  <c:v>6696.3823515999993</c:v>
                </c:pt>
                <c:pt idx="3">
                  <c:v>6576.1929000000009</c:v>
                </c:pt>
                <c:pt idx="4">
                  <c:v>7166.6329187499996</c:v>
                </c:pt>
                <c:pt idx="5">
                  <c:v>6965.255837499999</c:v>
                </c:pt>
                <c:pt idx="6">
                  <c:v>6872.0492474999983</c:v>
                </c:pt>
                <c:pt idx="7">
                  <c:v>6792.4915699999983</c:v>
                </c:pt>
                <c:pt idx="8">
                  <c:v>7146.3189974999987</c:v>
                </c:pt>
                <c:pt idx="9">
                  <c:v>7163.4535014999983</c:v>
                </c:pt>
                <c:pt idx="10">
                  <c:v>6997.7611799999995</c:v>
                </c:pt>
                <c:pt idx="11">
                  <c:v>6948.0016350000014</c:v>
                </c:pt>
                <c:pt idx="12">
                  <c:v>6788.4235974999992</c:v>
                </c:pt>
                <c:pt idx="13">
                  <c:v>6791.7635774999999</c:v>
                </c:pt>
                <c:pt idx="14">
                  <c:v>6649.7201775000003</c:v>
                </c:pt>
                <c:pt idx="15">
                  <c:v>6648.3770649999997</c:v>
                </c:pt>
                <c:pt idx="16">
                  <c:v>6582.3985499999999</c:v>
                </c:pt>
                <c:pt idx="17">
                  <c:v>7035.4902799999991</c:v>
                </c:pt>
                <c:pt idx="18">
                  <c:v>7201.5842249999987</c:v>
                </c:pt>
                <c:pt idx="19">
                  <c:v>7157.6941799999995</c:v>
                </c:pt>
                <c:pt idx="20">
                  <c:v>6376.0840000000007</c:v>
                </c:pt>
                <c:pt idx="21">
                  <c:v>7107.5604899999989</c:v>
                </c:pt>
                <c:pt idx="22">
                  <c:v>7299.8877937499992</c:v>
                </c:pt>
                <c:pt idx="23">
                  <c:v>7322.2275149999996</c:v>
                </c:pt>
                <c:pt idx="24">
                  <c:v>7263.8975762500004</c:v>
                </c:pt>
                <c:pt idx="25">
                  <c:v>6943.29</c:v>
                </c:pt>
                <c:pt idx="26">
                  <c:v>7007.4554549999993</c:v>
                </c:pt>
                <c:pt idx="27">
                  <c:v>7095.5773200000003</c:v>
                </c:pt>
                <c:pt idx="28">
                  <c:v>6907.4542124999998</c:v>
                </c:pt>
                <c:pt idx="29">
                  <c:v>6788.4235974999992</c:v>
                </c:pt>
                <c:pt idx="30">
                  <c:v>6677.9034474999989</c:v>
                </c:pt>
                <c:pt idx="31">
                  <c:v>6756.5059899999987</c:v>
                </c:pt>
                <c:pt idx="32">
                  <c:v>7299.8877937499992</c:v>
                </c:pt>
                <c:pt idx="33">
                  <c:v>7385.2145762500004</c:v>
                </c:pt>
                <c:pt idx="34">
                  <c:v>7041.0418</c:v>
                </c:pt>
                <c:pt idx="35">
                  <c:v>7010.8349999999991</c:v>
                </c:pt>
                <c:pt idx="36">
                  <c:v>7048.5322699999988</c:v>
                </c:pt>
                <c:pt idx="37">
                  <c:v>7048.5322699999988</c:v>
                </c:pt>
                <c:pt idx="38">
                  <c:v>7055.6649974999991</c:v>
                </c:pt>
                <c:pt idx="39">
                  <c:v>7057.6177500000003</c:v>
                </c:pt>
              </c:numCache>
            </c:numRef>
          </c:xVal>
          <c:yVal>
            <c:numRef>
              <c:f>[1]Foglio3!$H$3:$H$42</c:f>
              <c:numCache>
                <c:formatCode>General</c:formatCode>
                <c:ptCount val="40"/>
                <c:pt idx="0">
                  <c:v>605.625</c:v>
                </c:pt>
                <c:pt idx="1">
                  <c:v>575.875</c:v>
                </c:pt>
                <c:pt idx="2">
                  <c:v>614.125</c:v>
                </c:pt>
                <c:pt idx="3">
                  <c:v>433.5</c:v>
                </c:pt>
                <c:pt idx="4">
                  <c:v>446.25</c:v>
                </c:pt>
                <c:pt idx="5">
                  <c:v>531.25</c:v>
                </c:pt>
                <c:pt idx="6">
                  <c:v>573.75</c:v>
                </c:pt>
                <c:pt idx="7">
                  <c:v>580.125</c:v>
                </c:pt>
                <c:pt idx="8">
                  <c:v>467.5</c:v>
                </c:pt>
                <c:pt idx="9">
                  <c:v>518.5</c:v>
                </c:pt>
                <c:pt idx="10">
                  <c:v>573.75</c:v>
                </c:pt>
                <c:pt idx="11">
                  <c:v>573.75</c:v>
                </c:pt>
                <c:pt idx="12">
                  <c:v>637.5</c:v>
                </c:pt>
                <c:pt idx="13">
                  <c:v>637.5</c:v>
                </c:pt>
                <c:pt idx="14">
                  <c:v>616.25</c:v>
                </c:pt>
                <c:pt idx="15">
                  <c:v>658.75</c:v>
                </c:pt>
                <c:pt idx="16">
                  <c:v>556.75</c:v>
                </c:pt>
                <c:pt idx="17">
                  <c:v>686.375</c:v>
                </c:pt>
                <c:pt idx="18">
                  <c:v>828.75</c:v>
                </c:pt>
                <c:pt idx="19">
                  <c:v>340</c:v>
                </c:pt>
                <c:pt idx="20">
                  <c:v>297.5</c:v>
                </c:pt>
                <c:pt idx="21">
                  <c:v>703.375</c:v>
                </c:pt>
                <c:pt idx="22">
                  <c:v>807.5</c:v>
                </c:pt>
                <c:pt idx="23">
                  <c:v>773.5</c:v>
                </c:pt>
                <c:pt idx="24">
                  <c:v>871.25</c:v>
                </c:pt>
                <c:pt idx="25">
                  <c:v>671.5</c:v>
                </c:pt>
                <c:pt idx="26">
                  <c:v>541.875</c:v>
                </c:pt>
                <c:pt idx="27">
                  <c:v>350.625</c:v>
                </c:pt>
                <c:pt idx="28">
                  <c:v>658.75</c:v>
                </c:pt>
                <c:pt idx="29">
                  <c:v>818.125</c:v>
                </c:pt>
                <c:pt idx="30">
                  <c:v>860.625</c:v>
                </c:pt>
                <c:pt idx="31">
                  <c:v>1712.75</c:v>
                </c:pt>
                <c:pt idx="32">
                  <c:v>828.75</c:v>
                </c:pt>
                <c:pt idx="33">
                  <c:v>881.875</c:v>
                </c:pt>
                <c:pt idx="34">
                  <c:v>622.625</c:v>
                </c:pt>
                <c:pt idx="35">
                  <c:v>1338.75</c:v>
                </c:pt>
                <c:pt idx="36">
                  <c:v>1051.875</c:v>
                </c:pt>
                <c:pt idx="37">
                  <c:v>1241</c:v>
                </c:pt>
                <c:pt idx="38">
                  <c:v>605.625</c:v>
                </c:pt>
                <c:pt idx="39">
                  <c:v>1009.375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FC5-284C-8CC8-BD5926EBBEF4}"/>
            </c:ext>
          </c:extLst>
        </c:ser>
        <c:ser>
          <c:idx val="3"/>
          <c:order val="3"/>
          <c:tx>
            <c:v>Steels</c:v>
          </c:tx>
          <c:spPr>
            <a:ln w="31750">
              <a:noFill/>
            </a:ln>
          </c:spPr>
          <c:marker>
            <c:symbol val="circle"/>
            <c:size val="7"/>
            <c:spPr>
              <a:solidFill>
                <a:srgbClr val="698FC0"/>
              </a:solidFill>
              <a:ln>
                <a:noFill/>
              </a:ln>
            </c:spPr>
          </c:marker>
          <c:xVal>
            <c:numRef>
              <c:f>[2]Foglio3!$F$3:$F$518</c:f>
              <c:numCache>
                <c:formatCode>General</c:formatCode>
                <c:ptCount val="516"/>
                <c:pt idx="0">
                  <c:v>4299.9725202</c:v>
                </c:pt>
                <c:pt idx="1">
                  <c:v>165.89508624999999</c:v>
                </c:pt>
                <c:pt idx="2">
                  <c:v>4136.4964494000005</c:v>
                </c:pt>
                <c:pt idx="3">
                  <c:v>3131.0905660000008</c:v>
                </c:pt>
                <c:pt idx="4">
                  <c:v>11151.409191999999</c:v>
                </c:pt>
                <c:pt idx="5">
                  <c:v>2896.2180719999997</c:v>
                </c:pt>
                <c:pt idx="6">
                  <c:v>3193.1883719999996</c:v>
                </c:pt>
                <c:pt idx="7">
                  <c:v>4666.7580739999994</c:v>
                </c:pt>
                <c:pt idx="8">
                  <c:v>272.69871650000005</c:v>
                </c:pt>
                <c:pt idx="9">
                  <c:v>363.46264250000007</c:v>
                </c:pt>
                <c:pt idx="10">
                  <c:v>363.46264250000007</c:v>
                </c:pt>
                <c:pt idx="11">
                  <c:v>457.59524062499992</c:v>
                </c:pt>
                <c:pt idx="12">
                  <c:v>315.10981562500001</c:v>
                </c:pt>
                <c:pt idx="13">
                  <c:v>315.10981562500001</c:v>
                </c:pt>
                <c:pt idx="14">
                  <c:v>282.94854000000004</c:v>
                </c:pt>
                <c:pt idx="15">
                  <c:v>282.94854000000004</c:v>
                </c:pt>
                <c:pt idx="16">
                  <c:v>199.80585375000001</c:v>
                </c:pt>
                <c:pt idx="17">
                  <c:v>199.80585375000001</c:v>
                </c:pt>
                <c:pt idx="18">
                  <c:v>199.80585375000001</c:v>
                </c:pt>
                <c:pt idx="19">
                  <c:v>199.80585375000001</c:v>
                </c:pt>
                <c:pt idx="20">
                  <c:v>199.80585375000001</c:v>
                </c:pt>
                <c:pt idx="21">
                  <c:v>213.07235374999999</c:v>
                </c:pt>
                <c:pt idx="22">
                  <c:v>213.07235374999999</c:v>
                </c:pt>
                <c:pt idx="23">
                  <c:v>213.07235374999999</c:v>
                </c:pt>
                <c:pt idx="24">
                  <c:v>213.07235374999999</c:v>
                </c:pt>
                <c:pt idx="25">
                  <c:v>213.07235374999999</c:v>
                </c:pt>
                <c:pt idx="26">
                  <c:v>346.38497875000002</c:v>
                </c:pt>
                <c:pt idx="27">
                  <c:v>346.38497875000002</c:v>
                </c:pt>
                <c:pt idx="28">
                  <c:v>346.38497875000002</c:v>
                </c:pt>
                <c:pt idx="29">
                  <c:v>346.38497875000002</c:v>
                </c:pt>
                <c:pt idx="30">
                  <c:v>346.38497875000002</c:v>
                </c:pt>
                <c:pt idx="31">
                  <c:v>346.38497875000002</c:v>
                </c:pt>
                <c:pt idx="32">
                  <c:v>346.38497875000002</c:v>
                </c:pt>
                <c:pt idx="33">
                  <c:v>346.38497875000002</c:v>
                </c:pt>
                <c:pt idx="34">
                  <c:v>358.73516925000001</c:v>
                </c:pt>
                <c:pt idx="35">
                  <c:v>358.73516925000001</c:v>
                </c:pt>
                <c:pt idx="36">
                  <c:v>372.91797874999997</c:v>
                </c:pt>
                <c:pt idx="37">
                  <c:v>372.91797874999997</c:v>
                </c:pt>
                <c:pt idx="38">
                  <c:v>372.91797874999997</c:v>
                </c:pt>
                <c:pt idx="39">
                  <c:v>372.91797874999997</c:v>
                </c:pt>
                <c:pt idx="40">
                  <c:v>372.91797874999997</c:v>
                </c:pt>
                <c:pt idx="41">
                  <c:v>372.91797874999997</c:v>
                </c:pt>
                <c:pt idx="42">
                  <c:v>372.91797874999997</c:v>
                </c:pt>
                <c:pt idx="43">
                  <c:v>399.45097874999999</c:v>
                </c:pt>
                <c:pt idx="44">
                  <c:v>399.45097874999999</c:v>
                </c:pt>
                <c:pt idx="45">
                  <c:v>399.45097874999999</c:v>
                </c:pt>
                <c:pt idx="46">
                  <c:v>399.45097874999999</c:v>
                </c:pt>
                <c:pt idx="47">
                  <c:v>399.45097874999999</c:v>
                </c:pt>
                <c:pt idx="48">
                  <c:v>399.45097874999999</c:v>
                </c:pt>
                <c:pt idx="49">
                  <c:v>399.45097874999999</c:v>
                </c:pt>
                <c:pt idx="50">
                  <c:v>697.16636549999998</c:v>
                </c:pt>
                <c:pt idx="51">
                  <c:v>691.87328549999995</c:v>
                </c:pt>
                <c:pt idx="52">
                  <c:v>243.61670375</c:v>
                </c:pt>
                <c:pt idx="53">
                  <c:v>243.61670375</c:v>
                </c:pt>
                <c:pt idx="54">
                  <c:v>382.07659500000005</c:v>
                </c:pt>
                <c:pt idx="55">
                  <c:v>416.05292250000002</c:v>
                </c:pt>
                <c:pt idx="56">
                  <c:v>348.87146625000003</c:v>
                </c:pt>
                <c:pt idx="57">
                  <c:v>348.87146625000003</c:v>
                </c:pt>
                <c:pt idx="58">
                  <c:v>348.87146625000003</c:v>
                </c:pt>
                <c:pt idx="59">
                  <c:v>348.87146625000003</c:v>
                </c:pt>
                <c:pt idx="60">
                  <c:v>348.87146625000003</c:v>
                </c:pt>
                <c:pt idx="61">
                  <c:v>348.87146625000003</c:v>
                </c:pt>
                <c:pt idx="62">
                  <c:v>348.87146625000003</c:v>
                </c:pt>
                <c:pt idx="63">
                  <c:v>348.87146625000003</c:v>
                </c:pt>
                <c:pt idx="64">
                  <c:v>562.3181055</c:v>
                </c:pt>
                <c:pt idx="65">
                  <c:v>152.04645375000004</c:v>
                </c:pt>
                <c:pt idx="66">
                  <c:v>152.04645375000004</c:v>
                </c:pt>
                <c:pt idx="67">
                  <c:v>154.69975375000001</c:v>
                </c:pt>
                <c:pt idx="68">
                  <c:v>154.69975375000001</c:v>
                </c:pt>
                <c:pt idx="69">
                  <c:v>229.89294124999998</c:v>
                </c:pt>
                <c:pt idx="70">
                  <c:v>229.89294124999998</c:v>
                </c:pt>
                <c:pt idx="71">
                  <c:v>229.89294124999998</c:v>
                </c:pt>
                <c:pt idx="72">
                  <c:v>229.89294124999998</c:v>
                </c:pt>
                <c:pt idx="73">
                  <c:v>229.89294124999998</c:v>
                </c:pt>
                <c:pt idx="74">
                  <c:v>229.89294124999998</c:v>
                </c:pt>
                <c:pt idx="75">
                  <c:v>229.89294124999998</c:v>
                </c:pt>
                <c:pt idx="76">
                  <c:v>229.89294124999998</c:v>
                </c:pt>
                <c:pt idx="77">
                  <c:v>229.89294124999998</c:v>
                </c:pt>
                <c:pt idx="78">
                  <c:v>307.42150375</c:v>
                </c:pt>
                <c:pt idx="79">
                  <c:v>307.42150375</c:v>
                </c:pt>
                <c:pt idx="80">
                  <c:v>307.42150375</c:v>
                </c:pt>
                <c:pt idx="81">
                  <c:v>307.42150375</c:v>
                </c:pt>
                <c:pt idx="82">
                  <c:v>311.05997875000003</c:v>
                </c:pt>
                <c:pt idx="83">
                  <c:v>311.05997875000003</c:v>
                </c:pt>
                <c:pt idx="84">
                  <c:v>311.05997875000003</c:v>
                </c:pt>
                <c:pt idx="85">
                  <c:v>311.05997875000003</c:v>
                </c:pt>
                <c:pt idx="86">
                  <c:v>311.05997875000003</c:v>
                </c:pt>
                <c:pt idx="87">
                  <c:v>310.12190375000006</c:v>
                </c:pt>
                <c:pt idx="88">
                  <c:v>310.12190375000006</c:v>
                </c:pt>
                <c:pt idx="89">
                  <c:v>310.12190375000006</c:v>
                </c:pt>
                <c:pt idx="90">
                  <c:v>310.12190375000006</c:v>
                </c:pt>
                <c:pt idx="91">
                  <c:v>310.12190375000006</c:v>
                </c:pt>
                <c:pt idx="92">
                  <c:v>310.12190375000006</c:v>
                </c:pt>
                <c:pt idx="93">
                  <c:v>310.12190375000006</c:v>
                </c:pt>
                <c:pt idx="94">
                  <c:v>336.65490375000002</c:v>
                </c:pt>
                <c:pt idx="95">
                  <c:v>336.65490375000002</c:v>
                </c:pt>
                <c:pt idx="96">
                  <c:v>336.65490375000002</c:v>
                </c:pt>
                <c:pt idx="97">
                  <c:v>336.65490375000002</c:v>
                </c:pt>
                <c:pt idx="98">
                  <c:v>336.65490375000002</c:v>
                </c:pt>
                <c:pt idx="99">
                  <c:v>336.65490375000002</c:v>
                </c:pt>
                <c:pt idx="100">
                  <c:v>336.65490375000002</c:v>
                </c:pt>
                <c:pt idx="101">
                  <c:v>361.86125375000006</c:v>
                </c:pt>
                <c:pt idx="102">
                  <c:v>361.86125375000006</c:v>
                </c:pt>
                <c:pt idx="103">
                  <c:v>361.86125375000006</c:v>
                </c:pt>
                <c:pt idx="104">
                  <c:v>361.86125375000006</c:v>
                </c:pt>
                <c:pt idx="105">
                  <c:v>361.86125375000006</c:v>
                </c:pt>
                <c:pt idx="106">
                  <c:v>361.86125375000006</c:v>
                </c:pt>
                <c:pt idx="107">
                  <c:v>361.86125375000006</c:v>
                </c:pt>
                <c:pt idx="108">
                  <c:v>389.61885375000003</c:v>
                </c:pt>
                <c:pt idx="109">
                  <c:v>389.61885375000003</c:v>
                </c:pt>
                <c:pt idx="110">
                  <c:v>389.61885375000003</c:v>
                </c:pt>
                <c:pt idx="111">
                  <c:v>389.61885375000003</c:v>
                </c:pt>
                <c:pt idx="112">
                  <c:v>389.61885375000003</c:v>
                </c:pt>
                <c:pt idx="113">
                  <c:v>389.61885375000003</c:v>
                </c:pt>
                <c:pt idx="114">
                  <c:v>389.61885375000003</c:v>
                </c:pt>
                <c:pt idx="115">
                  <c:v>280.04070374999998</c:v>
                </c:pt>
                <c:pt idx="116">
                  <c:v>280.04070374999998</c:v>
                </c:pt>
                <c:pt idx="117">
                  <c:v>280.04070374999998</c:v>
                </c:pt>
                <c:pt idx="118">
                  <c:v>280.04070374999998</c:v>
                </c:pt>
                <c:pt idx="119">
                  <c:v>280.04070374999998</c:v>
                </c:pt>
                <c:pt idx="120">
                  <c:v>263.97175375</c:v>
                </c:pt>
                <c:pt idx="121">
                  <c:v>263.97175375</c:v>
                </c:pt>
                <c:pt idx="122">
                  <c:v>263.97175375</c:v>
                </c:pt>
                <c:pt idx="123">
                  <c:v>263.97175375</c:v>
                </c:pt>
                <c:pt idx="124">
                  <c:v>263.97175375</c:v>
                </c:pt>
                <c:pt idx="125">
                  <c:v>263.97175375</c:v>
                </c:pt>
                <c:pt idx="126">
                  <c:v>263.97175375</c:v>
                </c:pt>
                <c:pt idx="127">
                  <c:v>263.97175375</c:v>
                </c:pt>
                <c:pt idx="128">
                  <c:v>290.50475375000002</c:v>
                </c:pt>
                <c:pt idx="129">
                  <c:v>290.50475375000002</c:v>
                </c:pt>
                <c:pt idx="130">
                  <c:v>290.50475375000002</c:v>
                </c:pt>
                <c:pt idx="131">
                  <c:v>290.50475375000002</c:v>
                </c:pt>
                <c:pt idx="132">
                  <c:v>290.50475375000002</c:v>
                </c:pt>
                <c:pt idx="133">
                  <c:v>317.03775374999998</c:v>
                </c:pt>
                <c:pt idx="134">
                  <c:v>317.03775374999998</c:v>
                </c:pt>
                <c:pt idx="135">
                  <c:v>317.03775374999998</c:v>
                </c:pt>
                <c:pt idx="136">
                  <c:v>317.03775374999998</c:v>
                </c:pt>
                <c:pt idx="137">
                  <c:v>317.03775374999998</c:v>
                </c:pt>
                <c:pt idx="138">
                  <c:v>317.03775374999998</c:v>
                </c:pt>
                <c:pt idx="139">
                  <c:v>317.03775374999998</c:v>
                </c:pt>
                <c:pt idx="140">
                  <c:v>342.24410375000002</c:v>
                </c:pt>
                <c:pt idx="141">
                  <c:v>342.24410375000002</c:v>
                </c:pt>
                <c:pt idx="142">
                  <c:v>342.24410375000002</c:v>
                </c:pt>
                <c:pt idx="143">
                  <c:v>304.19829375000006</c:v>
                </c:pt>
                <c:pt idx="144">
                  <c:v>304.19829375000006</c:v>
                </c:pt>
                <c:pt idx="145">
                  <c:v>304.19829375000006</c:v>
                </c:pt>
                <c:pt idx="146">
                  <c:v>304.19829375000006</c:v>
                </c:pt>
                <c:pt idx="147">
                  <c:v>304.19829375000006</c:v>
                </c:pt>
                <c:pt idx="148">
                  <c:v>299.33600374999997</c:v>
                </c:pt>
                <c:pt idx="149">
                  <c:v>299.33600374999997</c:v>
                </c:pt>
                <c:pt idx="150">
                  <c:v>299.33600374999997</c:v>
                </c:pt>
                <c:pt idx="151">
                  <c:v>299.33600374999997</c:v>
                </c:pt>
                <c:pt idx="152">
                  <c:v>299.33600374999997</c:v>
                </c:pt>
                <c:pt idx="153">
                  <c:v>299.33600374999997</c:v>
                </c:pt>
                <c:pt idx="154">
                  <c:v>299.33600374999997</c:v>
                </c:pt>
                <c:pt idx="155">
                  <c:v>580.55047874999991</c:v>
                </c:pt>
                <c:pt idx="156">
                  <c:v>580.55047874999991</c:v>
                </c:pt>
                <c:pt idx="157">
                  <c:v>580.55047874999991</c:v>
                </c:pt>
                <c:pt idx="158">
                  <c:v>580.55047874999991</c:v>
                </c:pt>
                <c:pt idx="159">
                  <c:v>580.55047874999991</c:v>
                </c:pt>
                <c:pt idx="160">
                  <c:v>580.55047874999991</c:v>
                </c:pt>
                <c:pt idx="161">
                  <c:v>580.55047874999991</c:v>
                </c:pt>
                <c:pt idx="162">
                  <c:v>593.81697874999998</c:v>
                </c:pt>
                <c:pt idx="163">
                  <c:v>593.81697874999998</c:v>
                </c:pt>
                <c:pt idx="164">
                  <c:v>593.81697874999998</c:v>
                </c:pt>
                <c:pt idx="165">
                  <c:v>323.49555624999999</c:v>
                </c:pt>
                <c:pt idx="166">
                  <c:v>323.49555624999999</c:v>
                </c:pt>
                <c:pt idx="167">
                  <c:v>231.07161875000003</c:v>
                </c:pt>
                <c:pt idx="168">
                  <c:v>231.07161875000003</c:v>
                </c:pt>
                <c:pt idx="169">
                  <c:v>231.07161875000003</c:v>
                </c:pt>
                <c:pt idx="170">
                  <c:v>231.07161875000003</c:v>
                </c:pt>
                <c:pt idx="171">
                  <c:v>231.07161875000003</c:v>
                </c:pt>
                <c:pt idx="172">
                  <c:v>517.81845375</c:v>
                </c:pt>
                <c:pt idx="173">
                  <c:v>407.89463499999999</c:v>
                </c:pt>
                <c:pt idx="174">
                  <c:v>1519.6111895000001</c:v>
                </c:pt>
                <c:pt idx="175">
                  <c:v>1542.6810854999999</c:v>
                </c:pt>
                <c:pt idx="176">
                  <c:v>1587.6405874999998</c:v>
                </c:pt>
                <c:pt idx="177">
                  <c:v>484.44076999999999</c:v>
                </c:pt>
                <c:pt idx="178">
                  <c:v>166.191849375</c:v>
                </c:pt>
                <c:pt idx="179">
                  <c:v>166.191849375</c:v>
                </c:pt>
                <c:pt idx="180">
                  <c:v>166.191849375</c:v>
                </c:pt>
                <c:pt idx="181">
                  <c:v>166.191849375</c:v>
                </c:pt>
                <c:pt idx="182">
                  <c:v>43.507840000000002</c:v>
                </c:pt>
                <c:pt idx="183">
                  <c:v>43.507840000000002</c:v>
                </c:pt>
                <c:pt idx="184">
                  <c:v>43.507840000000002</c:v>
                </c:pt>
                <c:pt idx="185">
                  <c:v>55.447690000000001</c:v>
                </c:pt>
                <c:pt idx="186">
                  <c:v>55.447690000000001</c:v>
                </c:pt>
                <c:pt idx="187">
                  <c:v>55.447690000000001</c:v>
                </c:pt>
                <c:pt idx="188">
                  <c:v>56.774340000000009</c:v>
                </c:pt>
                <c:pt idx="189">
                  <c:v>56.774340000000009</c:v>
                </c:pt>
                <c:pt idx="190">
                  <c:v>56.774340000000009</c:v>
                </c:pt>
                <c:pt idx="191">
                  <c:v>47.487789999999997</c:v>
                </c:pt>
                <c:pt idx="192">
                  <c:v>47.487789999999997</c:v>
                </c:pt>
                <c:pt idx="193">
                  <c:v>47.487789999999997</c:v>
                </c:pt>
                <c:pt idx="194">
                  <c:v>47.487789999999997</c:v>
                </c:pt>
                <c:pt idx="195">
                  <c:v>47.487789999999997</c:v>
                </c:pt>
                <c:pt idx="196">
                  <c:v>47.487789999999997</c:v>
                </c:pt>
                <c:pt idx="197">
                  <c:v>27.710663499999999</c:v>
                </c:pt>
                <c:pt idx="198">
                  <c:v>84.633990000000011</c:v>
                </c:pt>
                <c:pt idx="199">
                  <c:v>84.633990000000011</c:v>
                </c:pt>
                <c:pt idx="200">
                  <c:v>84.633990000000011</c:v>
                </c:pt>
                <c:pt idx="201">
                  <c:v>84.633990000000011</c:v>
                </c:pt>
                <c:pt idx="202">
                  <c:v>84.633990000000011</c:v>
                </c:pt>
                <c:pt idx="203">
                  <c:v>84.633990000000011</c:v>
                </c:pt>
                <c:pt idx="204">
                  <c:v>84.633990000000011</c:v>
                </c:pt>
                <c:pt idx="205">
                  <c:v>84.633990000000011</c:v>
                </c:pt>
                <c:pt idx="206">
                  <c:v>109.84034</c:v>
                </c:pt>
                <c:pt idx="207">
                  <c:v>109.84034</c:v>
                </c:pt>
                <c:pt idx="208">
                  <c:v>109.84034</c:v>
                </c:pt>
                <c:pt idx="209">
                  <c:v>109.84034</c:v>
                </c:pt>
                <c:pt idx="210">
                  <c:v>109.84034</c:v>
                </c:pt>
                <c:pt idx="211">
                  <c:v>109.84034</c:v>
                </c:pt>
                <c:pt idx="212">
                  <c:v>109.84034</c:v>
                </c:pt>
                <c:pt idx="213">
                  <c:v>109.84034</c:v>
                </c:pt>
                <c:pt idx="214">
                  <c:v>109.84034</c:v>
                </c:pt>
                <c:pt idx="215">
                  <c:v>109.84034</c:v>
                </c:pt>
                <c:pt idx="216">
                  <c:v>109.84034</c:v>
                </c:pt>
                <c:pt idx="217">
                  <c:v>109.84034</c:v>
                </c:pt>
                <c:pt idx="218">
                  <c:v>109.84034</c:v>
                </c:pt>
                <c:pt idx="219">
                  <c:v>139.02663999999999</c:v>
                </c:pt>
                <c:pt idx="220">
                  <c:v>139.02663999999999</c:v>
                </c:pt>
                <c:pt idx="221">
                  <c:v>139.02663999999999</c:v>
                </c:pt>
                <c:pt idx="222">
                  <c:v>139.02663999999999</c:v>
                </c:pt>
                <c:pt idx="223">
                  <c:v>139.02663999999999</c:v>
                </c:pt>
                <c:pt idx="224">
                  <c:v>139.02663999999999</c:v>
                </c:pt>
                <c:pt idx="225">
                  <c:v>139.02663999999999</c:v>
                </c:pt>
                <c:pt idx="226">
                  <c:v>139.02663999999999</c:v>
                </c:pt>
                <c:pt idx="227">
                  <c:v>139.02663999999999</c:v>
                </c:pt>
                <c:pt idx="228">
                  <c:v>139.02663999999999</c:v>
                </c:pt>
                <c:pt idx="229">
                  <c:v>139.02663999999999</c:v>
                </c:pt>
                <c:pt idx="230">
                  <c:v>139.02663999999999</c:v>
                </c:pt>
                <c:pt idx="231">
                  <c:v>161.57969</c:v>
                </c:pt>
                <c:pt idx="232">
                  <c:v>161.57969</c:v>
                </c:pt>
                <c:pt idx="233">
                  <c:v>161.57969</c:v>
                </c:pt>
                <c:pt idx="234">
                  <c:v>161.57969</c:v>
                </c:pt>
                <c:pt idx="235">
                  <c:v>161.57969</c:v>
                </c:pt>
                <c:pt idx="236">
                  <c:v>161.57969</c:v>
                </c:pt>
                <c:pt idx="237">
                  <c:v>161.57969</c:v>
                </c:pt>
                <c:pt idx="238">
                  <c:v>161.57969</c:v>
                </c:pt>
                <c:pt idx="239">
                  <c:v>218.62563999999998</c:v>
                </c:pt>
                <c:pt idx="240">
                  <c:v>218.62563999999998</c:v>
                </c:pt>
                <c:pt idx="241">
                  <c:v>218.62563999999998</c:v>
                </c:pt>
                <c:pt idx="242">
                  <c:v>218.62563999999998</c:v>
                </c:pt>
                <c:pt idx="243">
                  <c:v>218.62563999999998</c:v>
                </c:pt>
                <c:pt idx="244">
                  <c:v>218.62563999999998</c:v>
                </c:pt>
                <c:pt idx="245">
                  <c:v>218.62563999999998</c:v>
                </c:pt>
                <c:pt idx="246">
                  <c:v>218.62563999999998</c:v>
                </c:pt>
                <c:pt idx="247">
                  <c:v>96.573840000000004</c:v>
                </c:pt>
                <c:pt idx="248">
                  <c:v>96.573840000000004</c:v>
                </c:pt>
                <c:pt idx="249">
                  <c:v>96.573840000000004</c:v>
                </c:pt>
                <c:pt idx="250">
                  <c:v>96.573840000000004</c:v>
                </c:pt>
                <c:pt idx="251">
                  <c:v>96.573840000000004</c:v>
                </c:pt>
                <c:pt idx="252">
                  <c:v>96.573840000000004</c:v>
                </c:pt>
                <c:pt idx="253">
                  <c:v>96.573840000000004</c:v>
                </c:pt>
                <c:pt idx="254">
                  <c:v>96.573840000000004</c:v>
                </c:pt>
                <c:pt idx="255">
                  <c:v>96.573840000000004</c:v>
                </c:pt>
                <c:pt idx="256">
                  <c:v>96.573840000000004</c:v>
                </c:pt>
                <c:pt idx="257">
                  <c:v>96.573840000000004</c:v>
                </c:pt>
                <c:pt idx="258">
                  <c:v>96.573840000000004</c:v>
                </c:pt>
                <c:pt idx="259">
                  <c:v>96.573840000000004</c:v>
                </c:pt>
                <c:pt idx="260">
                  <c:v>111.16699000000003</c:v>
                </c:pt>
                <c:pt idx="261">
                  <c:v>111.16699000000003</c:v>
                </c:pt>
                <c:pt idx="262">
                  <c:v>111.16699000000003</c:v>
                </c:pt>
                <c:pt idx="263">
                  <c:v>111.16699000000003</c:v>
                </c:pt>
                <c:pt idx="264">
                  <c:v>111.16699000000003</c:v>
                </c:pt>
                <c:pt idx="265">
                  <c:v>111.16699000000003</c:v>
                </c:pt>
                <c:pt idx="266">
                  <c:v>111.16699000000003</c:v>
                </c:pt>
                <c:pt idx="267">
                  <c:v>111.16699000000003</c:v>
                </c:pt>
                <c:pt idx="268">
                  <c:v>119.12688999999999</c:v>
                </c:pt>
                <c:pt idx="269">
                  <c:v>119.12688999999999</c:v>
                </c:pt>
                <c:pt idx="270">
                  <c:v>119.12688999999999</c:v>
                </c:pt>
                <c:pt idx="271">
                  <c:v>119.12688999999999</c:v>
                </c:pt>
                <c:pt idx="272">
                  <c:v>119.12688999999999</c:v>
                </c:pt>
                <c:pt idx="273">
                  <c:v>119.12688999999999</c:v>
                </c:pt>
                <c:pt idx="274">
                  <c:v>119.12688999999999</c:v>
                </c:pt>
                <c:pt idx="275">
                  <c:v>119.12688999999999</c:v>
                </c:pt>
                <c:pt idx="276">
                  <c:v>163.60950374999999</c:v>
                </c:pt>
                <c:pt idx="277">
                  <c:v>163.60950374999999</c:v>
                </c:pt>
                <c:pt idx="278">
                  <c:v>163.60950374999999</c:v>
                </c:pt>
                <c:pt idx="279">
                  <c:v>163.60950374999999</c:v>
                </c:pt>
                <c:pt idx="280">
                  <c:v>163.60950374999999</c:v>
                </c:pt>
                <c:pt idx="281">
                  <c:v>163.60950374999999</c:v>
                </c:pt>
                <c:pt idx="282">
                  <c:v>163.60950374999999</c:v>
                </c:pt>
                <c:pt idx="283">
                  <c:v>5262.8732780000009</c:v>
                </c:pt>
                <c:pt idx="284">
                  <c:v>5262.8732780000009</c:v>
                </c:pt>
                <c:pt idx="285">
                  <c:v>3757.3271000000004</c:v>
                </c:pt>
                <c:pt idx="286">
                  <c:v>3762.5661000000005</c:v>
                </c:pt>
                <c:pt idx="287">
                  <c:v>3767.8051000000005</c:v>
                </c:pt>
                <c:pt idx="288">
                  <c:v>3655.1356000000005</c:v>
                </c:pt>
                <c:pt idx="289">
                  <c:v>3698.7293500000005</c:v>
                </c:pt>
                <c:pt idx="290">
                  <c:v>4037.6949750000008</c:v>
                </c:pt>
                <c:pt idx="291">
                  <c:v>4037.6949750000008</c:v>
                </c:pt>
                <c:pt idx="292">
                  <c:v>4309.0224750000007</c:v>
                </c:pt>
                <c:pt idx="293">
                  <c:v>4568.3413499999997</c:v>
                </c:pt>
                <c:pt idx="294">
                  <c:v>4581.4388500000005</c:v>
                </c:pt>
                <c:pt idx="295">
                  <c:v>4762.2463500000003</c:v>
                </c:pt>
                <c:pt idx="296">
                  <c:v>4453.311200000001</c:v>
                </c:pt>
                <c:pt idx="297">
                  <c:v>4714.2512000000006</c:v>
                </c:pt>
                <c:pt idx="298">
                  <c:v>3224.3257800000001</c:v>
                </c:pt>
                <c:pt idx="299">
                  <c:v>3159.3826094999999</c:v>
                </c:pt>
                <c:pt idx="300">
                  <c:v>3159.3826094999999</c:v>
                </c:pt>
                <c:pt idx="301">
                  <c:v>3159.3826094999999</c:v>
                </c:pt>
                <c:pt idx="302">
                  <c:v>3159.3826094999999</c:v>
                </c:pt>
                <c:pt idx="303">
                  <c:v>3159.3826094999999</c:v>
                </c:pt>
                <c:pt idx="304">
                  <c:v>3159.3826094999999</c:v>
                </c:pt>
                <c:pt idx="305">
                  <c:v>3406.2997799999998</c:v>
                </c:pt>
                <c:pt idx="306">
                  <c:v>3406.2997799999998</c:v>
                </c:pt>
                <c:pt idx="307">
                  <c:v>3406.2997799999998</c:v>
                </c:pt>
                <c:pt idx="308">
                  <c:v>1568.6779405</c:v>
                </c:pt>
                <c:pt idx="309">
                  <c:v>3298.8196800000001</c:v>
                </c:pt>
                <c:pt idx="310">
                  <c:v>3273.0296940000003</c:v>
                </c:pt>
                <c:pt idx="311">
                  <c:v>3273.0296940000003</c:v>
                </c:pt>
                <c:pt idx="312">
                  <c:v>3273.0296940000003</c:v>
                </c:pt>
                <c:pt idx="313">
                  <c:v>3273.0296940000003</c:v>
                </c:pt>
                <c:pt idx="314">
                  <c:v>3273.0296940000003</c:v>
                </c:pt>
                <c:pt idx="315">
                  <c:v>3256.9679339999998</c:v>
                </c:pt>
                <c:pt idx="316">
                  <c:v>3453.4373807499996</c:v>
                </c:pt>
                <c:pt idx="317">
                  <c:v>3453.4373807499996</c:v>
                </c:pt>
                <c:pt idx="318">
                  <c:v>3453.4373807499996</c:v>
                </c:pt>
                <c:pt idx="319">
                  <c:v>3453.4373807499996</c:v>
                </c:pt>
                <c:pt idx="320">
                  <c:v>3542.8004899999996</c:v>
                </c:pt>
                <c:pt idx="321">
                  <c:v>3542.8004899999996</c:v>
                </c:pt>
                <c:pt idx="322">
                  <c:v>3649.2633753750006</c:v>
                </c:pt>
                <c:pt idx="323">
                  <c:v>3649.2633753750006</c:v>
                </c:pt>
                <c:pt idx="324">
                  <c:v>3649.2633753750006</c:v>
                </c:pt>
                <c:pt idx="325">
                  <c:v>3649.2633753750006</c:v>
                </c:pt>
                <c:pt idx="326">
                  <c:v>3642.5414003750002</c:v>
                </c:pt>
                <c:pt idx="327">
                  <c:v>3615.1463691250005</c:v>
                </c:pt>
                <c:pt idx="328">
                  <c:v>3449.4270107499997</c:v>
                </c:pt>
                <c:pt idx="329">
                  <c:v>3810.7501091250001</c:v>
                </c:pt>
                <c:pt idx="330">
                  <c:v>3802.5713984999998</c:v>
                </c:pt>
                <c:pt idx="331">
                  <c:v>4321.8733350000002</c:v>
                </c:pt>
                <c:pt idx="332">
                  <c:v>4831.3218705000008</c:v>
                </c:pt>
                <c:pt idx="333">
                  <c:v>5041.2967174999994</c:v>
                </c:pt>
                <c:pt idx="334">
                  <c:v>3732.5767502500003</c:v>
                </c:pt>
                <c:pt idx="335">
                  <c:v>3725.8421002499999</c:v>
                </c:pt>
                <c:pt idx="336">
                  <c:v>3725.8421002499999</c:v>
                </c:pt>
                <c:pt idx="337">
                  <c:v>3923.4745887499998</c:v>
                </c:pt>
                <c:pt idx="338">
                  <c:v>3923.4745887499998</c:v>
                </c:pt>
                <c:pt idx="339">
                  <c:v>3732.5767502500003</c:v>
                </c:pt>
                <c:pt idx="340">
                  <c:v>4283.7819502499997</c:v>
                </c:pt>
                <c:pt idx="341">
                  <c:v>4277.0473002500003</c:v>
                </c:pt>
                <c:pt idx="342">
                  <c:v>3461.49618375</c:v>
                </c:pt>
                <c:pt idx="343">
                  <c:v>3713.4264000000007</c:v>
                </c:pt>
                <c:pt idx="344">
                  <c:v>3603.0609573750003</c:v>
                </c:pt>
                <c:pt idx="345">
                  <c:v>3681.37216975</c:v>
                </c:pt>
                <c:pt idx="346">
                  <c:v>5235.4076429999996</c:v>
                </c:pt>
                <c:pt idx="347">
                  <c:v>4618.0957214999999</c:v>
                </c:pt>
                <c:pt idx="348">
                  <c:v>4618.0957214999999</c:v>
                </c:pt>
                <c:pt idx="349">
                  <c:v>4005.9637120000002</c:v>
                </c:pt>
                <c:pt idx="350">
                  <c:v>4005.9637120000002</c:v>
                </c:pt>
                <c:pt idx="351">
                  <c:v>4005.9637120000002</c:v>
                </c:pt>
                <c:pt idx="352">
                  <c:v>4500.5112950000002</c:v>
                </c:pt>
                <c:pt idx="353">
                  <c:v>4500.5112950000002</c:v>
                </c:pt>
                <c:pt idx="354">
                  <c:v>5073.6878499999993</c:v>
                </c:pt>
                <c:pt idx="355">
                  <c:v>5851.6200000000008</c:v>
                </c:pt>
                <c:pt idx="356">
                  <c:v>7270.2591000000011</c:v>
                </c:pt>
                <c:pt idx="357">
                  <c:v>7279.2028500000006</c:v>
                </c:pt>
                <c:pt idx="358">
                  <c:v>4649.0551855000003</c:v>
                </c:pt>
                <c:pt idx="359">
                  <c:v>4997.0828700000002</c:v>
                </c:pt>
                <c:pt idx="360">
                  <c:v>4067.0147400000001</c:v>
                </c:pt>
                <c:pt idx="361">
                  <c:v>4200.96739875</c:v>
                </c:pt>
                <c:pt idx="362">
                  <c:v>5334.9670849999993</c:v>
                </c:pt>
                <c:pt idx="363">
                  <c:v>5462.3227512499998</c:v>
                </c:pt>
                <c:pt idx="364">
                  <c:v>3619.3060225000004</c:v>
                </c:pt>
                <c:pt idx="365">
                  <c:v>5136.9856475000006</c:v>
                </c:pt>
                <c:pt idx="366">
                  <c:v>5136.9856475000006</c:v>
                </c:pt>
                <c:pt idx="367">
                  <c:v>2458.9278859999999</c:v>
                </c:pt>
                <c:pt idx="368">
                  <c:v>2126.2372198749999</c:v>
                </c:pt>
                <c:pt idx="369">
                  <c:v>2836.9371000000001</c:v>
                </c:pt>
                <c:pt idx="370">
                  <c:v>3186.1706079999999</c:v>
                </c:pt>
                <c:pt idx="371">
                  <c:v>3239.4517319999995</c:v>
                </c:pt>
                <c:pt idx="372">
                  <c:v>3506.7717860000002</c:v>
                </c:pt>
                <c:pt idx="373">
                  <c:v>3348.990198</c:v>
                </c:pt>
                <c:pt idx="374">
                  <c:v>3408.7357200000001</c:v>
                </c:pt>
                <c:pt idx="375">
                  <c:v>3866.6425200000003</c:v>
                </c:pt>
                <c:pt idx="376">
                  <c:v>3922.8025200000002</c:v>
                </c:pt>
                <c:pt idx="377">
                  <c:v>4505.3130000000001</c:v>
                </c:pt>
                <c:pt idx="378">
                  <c:v>6068.9321090000003</c:v>
                </c:pt>
                <c:pt idx="379">
                  <c:v>2485.2996740000003</c:v>
                </c:pt>
                <c:pt idx="380">
                  <c:v>2485.2996740000003</c:v>
                </c:pt>
                <c:pt idx="381">
                  <c:v>2485.2996740000003</c:v>
                </c:pt>
                <c:pt idx="382">
                  <c:v>2485.2996740000003</c:v>
                </c:pt>
                <c:pt idx="383">
                  <c:v>2543.1737239999998</c:v>
                </c:pt>
                <c:pt idx="384">
                  <c:v>2543.1737239999998</c:v>
                </c:pt>
                <c:pt idx="385">
                  <c:v>2543.1737239999998</c:v>
                </c:pt>
                <c:pt idx="386">
                  <c:v>2543.1737239999998</c:v>
                </c:pt>
                <c:pt idx="387">
                  <c:v>2527.9092299999998</c:v>
                </c:pt>
                <c:pt idx="388">
                  <c:v>2279.9244560000002</c:v>
                </c:pt>
                <c:pt idx="389">
                  <c:v>2279.9244560000002</c:v>
                </c:pt>
                <c:pt idx="390">
                  <c:v>2279.9244560000002</c:v>
                </c:pt>
                <c:pt idx="391">
                  <c:v>2388.8476000000001</c:v>
                </c:pt>
                <c:pt idx="392">
                  <c:v>2388.8476000000001</c:v>
                </c:pt>
                <c:pt idx="393">
                  <c:v>2388.8476000000001</c:v>
                </c:pt>
                <c:pt idx="394">
                  <c:v>2379.6793500000003</c:v>
                </c:pt>
                <c:pt idx="395">
                  <c:v>2404.2595200000001</c:v>
                </c:pt>
                <c:pt idx="396">
                  <c:v>2390.43597</c:v>
                </c:pt>
                <c:pt idx="397">
                  <c:v>2469.9565799999996</c:v>
                </c:pt>
                <c:pt idx="398">
                  <c:v>2549.0797799999996</c:v>
                </c:pt>
                <c:pt idx="399">
                  <c:v>2549.0797799999996</c:v>
                </c:pt>
                <c:pt idx="400">
                  <c:v>3324.2110199999997</c:v>
                </c:pt>
                <c:pt idx="401">
                  <c:v>3324.2110199999997</c:v>
                </c:pt>
                <c:pt idx="402">
                  <c:v>2398.1603799999998</c:v>
                </c:pt>
                <c:pt idx="403">
                  <c:v>2523.11598</c:v>
                </c:pt>
                <c:pt idx="404">
                  <c:v>2516.3992699999999</c:v>
                </c:pt>
                <c:pt idx="405">
                  <c:v>3047.7595200000005</c:v>
                </c:pt>
                <c:pt idx="406">
                  <c:v>3047.7595200000005</c:v>
                </c:pt>
                <c:pt idx="407">
                  <c:v>3047.7595200000005</c:v>
                </c:pt>
                <c:pt idx="408">
                  <c:v>3302.23452</c:v>
                </c:pt>
                <c:pt idx="409">
                  <c:v>3302.23452</c:v>
                </c:pt>
                <c:pt idx="410">
                  <c:v>3302.23452</c:v>
                </c:pt>
                <c:pt idx="411">
                  <c:v>3302.23452</c:v>
                </c:pt>
                <c:pt idx="412">
                  <c:v>3302.23452</c:v>
                </c:pt>
                <c:pt idx="413">
                  <c:v>3302.23452</c:v>
                </c:pt>
                <c:pt idx="414">
                  <c:v>3905.3908862500002</c:v>
                </c:pt>
                <c:pt idx="415">
                  <c:v>2918.4387706250009</c:v>
                </c:pt>
                <c:pt idx="416">
                  <c:v>3189.8216137500008</c:v>
                </c:pt>
                <c:pt idx="417">
                  <c:v>3202.0431525000008</c:v>
                </c:pt>
                <c:pt idx="418">
                  <c:v>3189.8216137500008</c:v>
                </c:pt>
                <c:pt idx="419">
                  <c:v>3189.1751812500002</c:v>
                </c:pt>
                <c:pt idx="420">
                  <c:v>3189.1751812500002</c:v>
                </c:pt>
                <c:pt idx="421">
                  <c:v>3189.1751812500002</c:v>
                </c:pt>
                <c:pt idx="422">
                  <c:v>3189.1751812500002</c:v>
                </c:pt>
                <c:pt idx="423">
                  <c:v>3189.1751812500002</c:v>
                </c:pt>
                <c:pt idx="424">
                  <c:v>3189.1751812500002</c:v>
                </c:pt>
                <c:pt idx="425">
                  <c:v>2891.4968520000007</c:v>
                </c:pt>
                <c:pt idx="426">
                  <c:v>2891.4968520000007</c:v>
                </c:pt>
                <c:pt idx="427">
                  <c:v>2891.4968520000007</c:v>
                </c:pt>
                <c:pt idx="428">
                  <c:v>2891.4968520000007</c:v>
                </c:pt>
                <c:pt idx="429">
                  <c:v>2891.4968520000007</c:v>
                </c:pt>
                <c:pt idx="430">
                  <c:v>2891.4968520000007</c:v>
                </c:pt>
                <c:pt idx="431">
                  <c:v>2891.4968520000007</c:v>
                </c:pt>
                <c:pt idx="432">
                  <c:v>3165.5077019999999</c:v>
                </c:pt>
                <c:pt idx="433">
                  <c:v>3165.5077019999999</c:v>
                </c:pt>
                <c:pt idx="434">
                  <c:v>3165.5077019999999</c:v>
                </c:pt>
                <c:pt idx="435">
                  <c:v>3165.5077019999999</c:v>
                </c:pt>
                <c:pt idx="436">
                  <c:v>3165.5077019999999</c:v>
                </c:pt>
                <c:pt idx="437">
                  <c:v>3165.5077019999999</c:v>
                </c:pt>
                <c:pt idx="438">
                  <c:v>3165.5077019999999</c:v>
                </c:pt>
                <c:pt idx="439">
                  <c:v>3149.2798160000002</c:v>
                </c:pt>
                <c:pt idx="440">
                  <c:v>3589.2494470000001</c:v>
                </c:pt>
                <c:pt idx="441">
                  <c:v>3416.392112</c:v>
                </c:pt>
                <c:pt idx="442">
                  <c:v>3416.392112</c:v>
                </c:pt>
                <c:pt idx="443">
                  <c:v>2957.9622625000006</c:v>
                </c:pt>
                <c:pt idx="444">
                  <c:v>2957.9622625000006</c:v>
                </c:pt>
                <c:pt idx="445">
                  <c:v>2957.9622625000006</c:v>
                </c:pt>
                <c:pt idx="446">
                  <c:v>2957.9622625000006</c:v>
                </c:pt>
                <c:pt idx="447">
                  <c:v>2957.9622625000006</c:v>
                </c:pt>
                <c:pt idx="448">
                  <c:v>2957.9622625000006</c:v>
                </c:pt>
                <c:pt idx="449">
                  <c:v>2957.9622625000006</c:v>
                </c:pt>
                <c:pt idx="450">
                  <c:v>2314.1066000000001</c:v>
                </c:pt>
                <c:pt idx="451">
                  <c:v>2314.1066000000001</c:v>
                </c:pt>
                <c:pt idx="452">
                  <c:v>2347.0848252500004</c:v>
                </c:pt>
                <c:pt idx="453">
                  <c:v>2347.0848252500004</c:v>
                </c:pt>
                <c:pt idx="454">
                  <c:v>2985.6246418749997</c:v>
                </c:pt>
                <c:pt idx="455">
                  <c:v>2985.6246418749997</c:v>
                </c:pt>
                <c:pt idx="456">
                  <c:v>2985.6246418749997</c:v>
                </c:pt>
                <c:pt idx="457">
                  <c:v>2695.9347819999998</c:v>
                </c:pt>
                <c:pt idx="458">
                  <c:v>2695.9347819999998</c:v>
                </c:pt>
                <c:pt idx="459">
                  <c:v>2695.9347819999998</c:v>
                </c:pt>
                <c:pt idx="460">
                  <c:v>2695.9347819999998</c:v>
                </c:pt>
                <c:pt idx="461">
                  <c:v>2695.9347819999998</c:v>
                </c:pt>
                <c:pt idx="462">
                  <c:v>2695.9347819999998</c:v>
                </c:pt>
                <c:pt idx="463">
                  <c:v>3235.2013980000002</c:v>
                </c:pt>
                <c:pt idx="464">
                  <c:v>882.35558399999991</c:v>
                </c:pt>
                <c:pt idx="465">
                  <c:v>1531.86644325</c:v>
                </c:pt>
                <c:pt idx="466">
                  <c:v>1759.9904000000001</c:v>
                </c:pt>
                <c:pt idx="467">
                  <c:v>825.24278549999985</c:v>
                </c:pt>
                <c:pt idx="468">
                  <c:v>645.74587725000004</c:v>
                </c:pt>
                <c:pt idx="469">
                  <c:v>2859.3519832499996</c:v>
                </c:pt>
                <c:pt idx="470">
                  <c:v>1880.2944562499999</c:v>
                </c:pt>
                <c:pt idx="471">
                  <c:v>1746.2634705</c:v>
                </c:pt>
                <c:pt idx="472">
                  <c:v>2890.5337575000008</c:v>
                </c:pt>
                <c:pt idx="473">
                  <c:v>3049.0848850000002</c:v>
                </c:pt>
                <c:pt idx="474">
                  <c:v>3071.2127599999999</c:v>
                </c:pt>
                <c:pt idx="475">
                  <c:v>3606.2376350000004</c:v>
                </c:pt>
                <c:pt idx="476">
                  <c:v>3719.177385</c:v>
                </c:pt>
                <c:pt idx="477">
                  <c:v>1467.6573907500001</c:v>
                </c:pt>
                <c:pt idx="478">
                  <c:v>1558.7088577500001</c:v>
                </c:pt>
                <c:pt idx="479">
                  <c:v>1964.4488955000002</c:v>
                </c:pt>
                <c:pt idx="480">
                  <c:v>1667.5962582500001</c:v>
                </c:pt>
                <c:pt idx="481">
                  <c:v>2543.2364822500003</c:v>
                </c:pt>
                <c:pt idx="482">
                  <c:v>3646.747903</c:v>
                </c:pt>
                <c:pt idx="483">
                  <c:v>3556.7550567500002</c:v>
                </c:pt>
                <c:pt idx="484">
                  <c:v>3934.5450882499999</c:v>
                </c:pt>
                <c:pt idx="485">
                  <c:v>6390.6305592500003</c:v>
                </c:pt>
                <c:pt idx="486">
                  <c:v>5169.5409570000002</c:v>
                </c:pt>
                <c:pt idx="487">
                  <c:v>5356.7372794999992</c:v>
                </c:pt>
                <c:pt idx="488">
                  <c:v>6703.6760837499996</c:v>
                </c:pt>
                <c:pt idx="489">
                  <c:v>479.18338324999996</c:v>
                </c:pt>
                <c:pt idx="490">
                  <c:v>479.18338324999996</c:v>
                </c:pt>
                <c:pt idx="491">
                  <c:v>479.18338324999996</c:v>
                </c:pt>
                <c:pt idx="492">
                  <c:v>532.04404824999995</c:v>
                </c:pt>
                <c:pt idx="493">
                  <c:v>532.04404824999995</c:v>
                </c:pt>
                <c:pt idx="494">
                  <c:v>532.04404824999995</c:v>
                </c:pt>
                <c:pt idx="495">
                  <c:v>574.95890024999994</c:v>
                </c:pt>
                <c:pt idx="496">
                  <c:v>453.74922075000001</c:v>
                </c:pt>
                <c:pt idx="497">
                  <c:v>634.16457224999999</c:v>
                </c:pt>
                <c:pt idx="498">
                  <c:v>969.48285525000006</c:v>
                </c:pt>
                <c:pt idx="499">
                  <c:v>301.21524300000004</c:v>
                </c:pt>
                <c:pt idx="500">
                  <c:v>586.53669250000007</c:v>
                </c:pt>
                <c:pt idx="501">
                  <c:v>199.50814250000002</c:v>
                </c:pt>
                <c:pt idx="502">
                  <c:v>162.56994</c:v>
                </c:pt>
                <c:pt idx="503">
                  <c:v>1035.7955400000001</c:v>
                </c:pt>
                <c:pt idx="504">
                  <c:v>467.37638999999996</c:v>
                </c:pt>
                <c:pt idx="505">
                  <c:v>357.09689250000002</c:v>
                </c:pt>
                <c:pt idx="506">
                  <c:v>6764.2861400000002</c:v>
                </c:pt>
                <c:pt idx="507">
                  <c:v>7139.7650885000003</c:v>
                </c:pt>
                <c:pt idx="508">
                  <c:v>7146.5847149999991</c:v>
                </c:pt>
                <c:pt idx="509">
                  <c:v>8361.6470279999994</c:v>
                </c:pt>
                <c:pt idx="510">
                  <c:v>9657.7832065000002</c:v>
                </c:pt>
                <c:pt idx="511">
                  <c:v>11267.411569999997</c:v>
                </c:pt>
                <c:pt idx="512">
                  <c:v>7106.0640629999998</c:v>
                </c:pt>
                <c:pt idx="513">
                  <c:v>398.96767349999999</c:v>
                </c:pt>
                <c:pt idx="514">
                  <c:v>433.48838649999999</c:v>
                </c:pt>
                <c:pt idx="515">
                  <c:v>474.32194774999999</c:v>
                </c:pt>
              </c:numCache>
            </c:numRef>
          </c:xVal>
          <c:yVal>
            <c:numRef>
              <c:f>[2]Foglio3!$G$3:$G$518</c:f>
              <c:numCache>
                <c:formatCode>General</c:formatCode>
                <c:ptCount val="516"/>
                <c:pt idx="0">
                  <c:v>12787.5</c:v>
                </c:pt>
                <c:pt idx="1">
                  <c:v>2621.25</c:v>
                </c:pt>
                <c:pt idx="2">
                  <c:v>11700</c:v>
                </c:pt>
                <c:pt idx="3">
                  <c:v>4653.75</c:v>
                </c:pt>
                <c:pt idx="4">
                  <c:v>2681.25</c:v>
                </c:pt>
                <c:pt idx="5">
                  <c:v>12937.5</c:v>
                </c:pt>
                <c:pt idx="6">
                  <c:v>14287.5</c:v>
                </c:pt>
                <c:pt idx="7">
                  <c:v>2831.25</c:v>
                </c:pt>
                <c:pt idx="8">
                  <c:v>3753.75</c:v>
                </c:pt>
                <c:pt idx="9">
                  <c:v>3750</c:v>
                </c:pt>
                <c:pt idx="10">
                  <c:v>5355</c:v>
                </c:pt>
                <c:pt idx="11">
                  <c:v>9075</c:v>
                </c:pt>
                <c:pt idx="12">
                  <c:v>4185</c:v>
                </c:pt>
                <c:pt idx="13">
                  <c:v>6528.75</c:v>
                </c:pt>
                <c:pt idx="14">
                  <c:v>3187.5</c:v>
                </c:pt>
                <c:pt idx="15">
                  <c:v>4500</c:v>
                </c:pt>
                <c:pt idx="16">
                  <c:v>5700</c:v>
                </c:pt>
                <c:pt idx="17">
                  <c:v>5737.5</c:v>
                </c:pt>
                <c:pt idx="18">
                  <c:v>5475</c:v>
                </c:pt>
                <c:pt idx="19">
                  <c:v>4912.5</c:v>
                </c:pt>
                <c:pt idx="20">
                  <c:v>3150</c:v>
                </c:pt>
                <c:pt idx="21">
                  <c:v>12450</c:v>
                </c:pt>
                <c:pt idx="22">
                  <c:v>10912.5</c:v>
                </c:pt>
                <c:pt idx="23">
                  <c:v>8812.5</c:v>
                </c:pt>
                <c:pt idx="24">
                  <c:v>6637.5</c:v>
                </c:pt>
                <c:pt idx="25">
                  <c:v>5175</c:v>
                </c:pt>
                <c:pt idx="26">
                  <c:v>2700</c:v>
                </c:pt>
                <c:pt idx="27">
                  <c:v>3813.75</c:v>
                </c:pt>
                <c:pt idx="28">
                  <c:v>6862.5</c:v>
                </c:pt>
                <c:pt idx="29">
                  <c:v>10987.5</c:v>
                </c:pt>
                <c:pt idx="30">
                  <c:v>10350</c:v>
                </c:pt>
                <c:pt idx="31">
                  <c:v>8962.5</c:v>
                </c:pt>
                <c:pt idx="32">
                  <c:v>6937.5</c:v>
                </c:pt>
                <c:pt idx="33">
                  <c:v>5268.75</c:v>
                </c:pt>
                <c:pt idx="34">
                  <c:v>4008.75</c:v>
                </c:pt>
                <c:pt idx="35">
                  <c:v>7125</c:v>
                </c:pt>
                <c:pt idx="36">
                  <c:v>3112.5</c:v>
                </c:pt>
                <c:pt idx="37">
                  <c:v>4912.5</c:v>
                </c:pt>
                <c:pt idx="38">
                  <c:v>12337.5</c:v>
                </c:pt>
                <c:pt idx="39">
                  <c:v>10762.5</c:v>
                </c:pt>
                <c:pt idx="40">
                  <c:v>8550</c:v>
                </c:pt>
                <c:pt idx="41">
                  <c:v>6262.5</c:v>
                </c:pt>
                <c:pt idx="42">
                  <c:v>4912.5</c:v>
                </c:pt>
                <c:pt idx="43">
                  <c:v>2850</c:v>
                </c:pt>
                <c:pt idx="44">
                  <c:v>5512.5</c:v>
                </c:pt>
                <c:pt idx="45">
                  <c:v>13125</c:v>
                </c:pt>
                <c:pt idx="46">
                  <c:v>11925</c:v>
                </c:pt>
                <c:pt idx="47">
                  <c:v>10350</c:v>
                </c:pt>
                <c:pt idx="48">
                  <c:v>8306.25</c:v>
                </c:pt>
                <c:pt idx="49">
                  <c:v>6300</c:v>
                </c:pt>
                <c:pt idx="50">
                  <c:v>12525</c:v>
                </c:pt>
                <c:pt idx="51">
                  <c:v>12000</c:v>
                </c:pt>
                <c:pt idx="52">
                  <c:v>3187.5</c:v>
                </c:pt>
                <c:pt idx="53">
                  <c:v>3487.5</c:v>
                </c:pt>
                <c:pt idx="54">
                  <c:v>10087.5</c:v>
                </c:pt>
                <c:pt idx="55">
                  <c:v>10350</c:v>
                </c:pt>
                <c:pt idx="56">
                  <c:v>3543.75</c:v>
                </c:pt>
                <c:pt idx="57">
                  <c:v>6450</c:v>
                </c:pt>
                <c:pt idx="58">
                  <c:v>12600</c:v>
                </c:pt>
                <c:pt idx="59">
                  <c:v>11925</c:v>
                </c:pt>
                <c:pt idx="60">
                  <c:v>10237.5</c:v>
                </c:pt>
                <c:pt idx="61">
                  <c:v>8081.25</c:v>
                </c:pt>
                <c:pt idx="62">
                  <c:v>6412.5</c:v>
                </c:pt>
                <c:pt idx="63">
                  <c:v>11812.5</c:v>
                </c:pt>
                <c:pt idx="64">
                  <c:v>10350</c:v>
                </c:pt>
                <c:pt idx="65">
                  <c:v>2793.75</c:v>
                </c:pt>
                <c:pt idx="66">
                  <c:v>2756.25</c:v>
                </c:pt>
                <c:pt idx="67">
                  <c:v>3468.75</c:v>
                </c:pt>
                <c:pt idx="68">
                  <c:v>3637.5</c:v>
                </c:pt>
                <c:pt idx="69">
                  <c:v>10575</c:v>
                </c:pt>
                <c:pt idx="70">
                  <c:v>8700</c:v>
                </c:pt>
                <c:pt idx="71">
                  <c:v>6975</c:v>
                </c:pt>
                <c:pt idx="72">
                  <c:v>5737.5</c:v>
                </c:pt>
                <c:pt idx="73">
                  <c:v>4912.5</c:v>
                </c:pt>
                <c:pt idx="74">
                  <c:v>12150</c:v>
                </c:pt>
                <c:pt idx="75">
                  <c:v>9375</c:v>
                </c:pt>
                <c:pt idx="76">
                  <c:v>7350</c:v>
                </c:pt>
                <c:pt idx="77">
                  <c:v>5943.75</c:v>
                </c:pt>
                <c:pt idx="78">
                  <c:v>13312.5</c:v>
                </c:pt>
                <c:pt idx="79">
                  <c:v>10387.5</c:v>
                </c:pt>
                <c:pt idx="80">
                  <c:v>7500</c:v>
                </c:pt>
                <c:pt idx="81">
                  <c:v>5850</c:v>
                </c:pt>
                <c:pt idx="82">
                  <c:v>11400</c:v>
                </c:pt>
                <c:pt idx="83">
                  <c:v>10575</c:v>
                </c:pt>
                <c:pt idx="84">
                  <c:v>9075</c:v>
                </c:pt>
                <c:pt idx="85">
                  <c:v>7050</c:v>
                </c:pt>
                <c:pt idx="86">
                  <c:v>5175</c:v>
                </c:pt>
                <c:pt idx="87">
                  <c:v>2193.75</c:v>
                </c:pt>
                <c:pt idx="88">
                  <c:v>3543.75</c:v>
                </c:pt>
                <c:pt idx="89">
                  <c:v>12337.5</c:v>
                </c:pt>
                <c:pt idx="90">
                  <c:v>10875</c:v>
                </c:pt>
                <c:pt idx="91">
                  <c:v>8812.5</c:v>
                </c:pt>
                <c:pt idx="92">
                  <c:v>6468.75</c:v>
                </c:pt>
                <c:pt idx="93">
                  <c:v>4968.75</c:v>
                </c:pt>
                <c:pt idx="94">
                  <c:v>2681.25</c:v>
                </c:pt>
                <c:pt idx="95">
                  <c:v>3975</c:v>
                </c:pt>
                <c:pt idx="96">
                  <c:v>12975</c:v>
                </c:pt>
                <c:pt idx="97">
                  <c:v>12075</c:v>
                </c:pt>
                <c:pt idx="98">
                  <c:v>10200</c:v>
                </c:pt>
                <c:pt idx="99">
                  <c:v>7743.75</c:v>
                </c:pt>
                <c:pt idx="100">
                  <c:v>6056.25</c:v>
                </c:pt>
                <c:pt idx="101">
                  <c:v>2062.5</c:v>
                </c:pt>
                <c:pt idx="102">
                  <c:v>3993.75</c:v>
                </c:pt>
                <c:pt idx="103">
                  <c:v>13462.5</c:v>
                </c:pt>
                <c:pt idx="104">
                  <c:v>13312.5</c:v>
                </c:pt>
                <c:pt idx="105">
                  <c:v>10987.5</c:v>
                </c:pt>
                <c:pt idx="106">
                  <c:v>7818.75</c:v>
                </c:pt>
                <c:pt idx="107">
                  <c:v>6000</c:v>
                </c:pt>
                <c:pt idx="108">
                  <c:v>3093.75</c:v>
                </c:pt>
                <c:pt idx="109">
                  <c:v>4612.5</c:v>
                </c:pt>
                <c:pt idx="110">
                  <c:v>12000</c:v>
                </c:pt>
                <c:pt idx="111">
                  <c:v>11812.5</c:v>
                </c:pt>
                <c:pt idx="112">
                  <c:v>10012.5</c:v>
                </c:pt>
                <c:pt idx="113">
                  <c:v>8025</c:v>
                </c:pt>
                <c:pt idx="114">
                  <c:v>6300</c:v>
                </c:pt>
                <c:pt idx="115">
                  <c:v>12937.5</c:v>
                </c:pt>
                <c:pt idx="116">
                  <c:v>11775</c:v>
                </c:pt>
                <c:pt idx="117">
                  <c:v>9825</c:v>
                </c:pt>
                <c:pt idx="118">
                  <c:v>7725</c:v>
                </c:pt>
                <c:pt idx="119">
                  <c:v>5943.75</c:v>
                </c:pt>
                <c:pt idx="120">
                  <c:v>2793.75</c:v>
                </c:pt>
                <c:pt idx="121">
                  <c:v>3813.75</c:v>
                </c:pt>
                <c:pt idx="122">
                  <c:v>11287.5</c:v>
                </c:pt>
                <c:pt idx="123">
                  <c:v>10462.5</c:v>
                </c:pt>
                <c:pt idx="124">
                  <c:v>8812.5</c:v>
                </c:pt>
                <c:pt idx="125">
                  <c:v>6731.25</c:v>
                </c:pt>
                <c:pt idx="126">
                  <c:v>5175</c:v>
                </c:pt>
                <c:pt idx="127">
                  <c:v>5448.75</c:v>
                </c:pt>
                <c:pt idx="128">
                  <c:v>12525</c:v>
                </c:pt>
                <c:pt idx="129">
                  <c:v>11362.5</c:v>
                </c:pt>
                <c:pt idx="130">
                  <c:v>9750</c:v>
                </c:pt>
                <c:pt idx="131">
                  <c:v>7743.75</c:v>
                </c:pt>
                <c:pt idx="132">
                  <c:v>6000</c:v>
                </c:pt>
                <c:pt idx="133">
                  <c:v>2793.75</c:v>
                </c:pt>
                <c:pt idx="134">
                  <c:v>5156.25</c:v>
                </c:pt>
                <c:pt idx="135">
                  <c:v>12562.5</c:v>
                </c:pt>
                <c:pt idx="136">
                  <c:v>11662.5</c:v>
                </c:pt>
                <c:pt idx="137">
                  <c:v>9937.5</c:v>
                </c:pt>
                <c:pt idx="138">
                  <c:v>7893.75</c:v>
                </c:pt>
                <c:pt idx="139">
                  <c:v>6206.25</c:v>
                </c:pt>
                <c:pt idx="140">
                  <c:v>11662.5</c:v>
                </c:pt>
                <c:pt idx="141">
                  <c:v>9112.5</c:v>
                </c:pt>
                <c:pt idx="142">
                  <c:v>7143.75</c:v>
                </c:pt>
                <c:pt idx="143">
                  <c:v>12375</c:v>
                </c:pt>
                <c:pt idx="144">
                  <c:v>11662.5</c:v>
                </c:pt>
                <c:pt idx="145">
                  <c:v>9900</c:v>
                </c:pt>
                <c:pt idx="146">
                  <c:v>7743.75</c:v>
                </c:pt>
                <c:pt idx="147">
                  <c:v>6581.25</c:v>
                </c:pt>
                <c:pt idx="148">
                  <c:v>3112.5</c:v>
                </c:pt>
                <c:pt idx="149">
                  <c:v>4556.25</c:v>
                </c:pt>
                <c:pt idx="150">
                  <c:v>12412.5</c:v>
                </c:pt>
                <c:pt idx="151">
                  <c:v>11662.5</c:v>
                </c:pt>
                <c:pt idx="152">
                  <c:v>10275</c:v>
                </c:pt>
                <c:pt idx="153">
                  <c:v>8550</c:v>
                </c:pt>
                <c:pt idx="154">
                  <c:v>6768.75</c:v>
                </c:pt>
                <c:pt idx="155">
                  <c:v>3656.25</c:v>
                </c:pt>
                <c:pt idx="156">
                  <c:v>4350</c:v>
                </c:pt>
                <c:pt idx="157">
                  <c:v>15375</c:v>
                </c:pt>
                <c:pt idx="158">
                  <c:v>13462.5</c:v>
                </c:pt>
                <c:pt idx="159">
                  <c:v>11175</c:v>
                </c:pt>
                <c:pt idx="160">
                  <c:v>8287.5</c:v>
                </c:pt>
                <c:pt idx="161">
                  <c:v>6093.75</c:v>
                </c:pt>
                <c:pt idx="162">
                  <c:v>11287.5</c:v>
                </c:pt>
                <c:pt idx="163">
                  <c:v>8512.5</c:v>
                </c:pt>
                <c:pt idx="164">
                  <c:v>6093.75</c:v>
                </c:pt>
                <c:pt idx="165">
                  <c:v>3300</c:v>
                </c:pt>
                <c:pt idx="166">
                  <c:v>4275</c:v>
                </c:pt>
                <c:pt idx="167">
                  <c:v>11662.5</c:v>
                </c:pt>
                <c:pt idx="168">
                  <c:v>10687.5</c:v>
                </c:pt>
                <c:pt idx="169">
                  <c:v>9075</c:v>
                </c:pt>
                <c:pt idx="170">
                  <c:v>6993.75</c:v>
                </c:pt>
                <c:pt idx="171">
                  <c:v>5418.75</c:v>
                </c:pt>
                <c:pt idx="172">
                  <c:v>10087.5</c:v>
                </c:pt>
                <c:pt idx="173">
                  <c:v>7687.5</c:v>
                </c:pt>
                <c:pt idx="174">
                  <c:v>11400</c:v>
                </c:pt>
                <c:pt idx="175">
                  <c:v>9412.5</c:v>
                </c:pt>
                <c:pt idx="176">
                  <c:v>10087.5</c:v>
                </c:pt>
                <c:pt idx="177">
                  <c:v>3412.5</c:v>
                </c:pt>
                <c:pt idx="178">
                  <c:v>1758.75</c:v>
                </c:pt>
                <c:pt idx="179">
                  <c:v>2328.75</c:v>
                </c:pt>
                <c:pt idx="180">
                  <c:v>2070</c:v>
                </c:pt>
                <c:pt idx="181">
                  <c:v>2621.25</c:v>
                </c:pt>
                <c:pt idx="182">
                  <c:v>2137.5</c:v>
                </c:pt>
                <c:pt idx="183">
                  <c:v>2343.75</c:v>
                </c:pt>
                <c:pt idx="184">
                  <c:v>2456.25</c:v>
                </c:pt>
                <c:pt idx="185">
                  <c:v>2212.5</c:v>
                </c:pt>
                <c:pt idx="186">
                  <c:v>2475</c:v>
                </c:pt>
                <c:pt idx="187">
                  <c:v>2475</c:v>
                </c:pt>
                <c:pt idx="188">
                  <c:v>2381.25</c:v>
                </c:pt>
                <c:pt idx="189">
                  <c:v>2681.25</c:v>
                </c:pt>
                <c:pt idx="190">
                  <c:v>2681.25</c:v>
                </c:pt>
                <c:pt idx="191">
                  <c:v>2100</c:v>
                </c:pt>
                <c:pt idx="192">
                  <c:v>2287.5</c:v>
                </c:pt>
                <c:pt idx="193">
                  <c:v>2268.75</c:v>
                </c:pt>
                <c:pt idx="194">
                  <c:v>2137.5</c:v>
                </c:pt>
                <c:pt idx="195">
                  <c:v>2381.25</c:v>
                </c:pt>
                <c:pt idx="196">
                  <c:v>2400</c:v>
                </c:pt>
                <c:pt idx="197">
                  <c:v>3221.25</c:v>
                </c:pt>
                <c:pt idx="198">
                  <c:v>2550</c:v>
                </c:pt>
                <c:pt idx="199">
                  <c:v>2587.5</c:v>
                </c:pt>
                <c:pt idx="200">
                  <c:v>2587.5</c:v>
                </c:pt>
                <c:pt idx="201">
                  <c:v>4856.25</c:v>
                </c:pt>
                <c:pt idx="202">
                  <c:v>4650</c:v>
                </c:pt>
                <c:pt idx="203">
                  <c:v>4350</c:v>
                </c:pt>
                <c:pt idx="204">
                  <c:v>3881.25</c:v>
                </c:pt>
                <c:pt idx="205">
                  <c:v>3318.75</c:v>
                </c:pt>
                <c:pt idx="206">
                  <c:v>2643.75</c:v>
                </c:pt>
                <c:pt idx="207">
                  <c:v>3131.25</c:v>
                </c:pt>
                <c:pt idx="208">
                  <c:v>2812.5</c:v>
                </c:pt>
                <c:pt idx="209">
                  <c:v>4443.75</c:v>
                </c:pt>
                <c:pt idx="210">
                  <c:v>4443.75</c:v>
                </c:pt>
                <c:pt idx="211">
                  <c:v>4143.75</c:v>
                </c:pt>
                <c:pt idx="212">
                  <c:v>3675</c:v>
                </c:pt>
                <c:pt idx="213">
                  <c:v>3243.75</c:v>
                </c:pt>
                <c:pt idx="214">
                  <c:v>4968.75</c:v>
                </c:pt>
                <c:pt idx="215">
                  <c:v>4856.25</c:v>
                </c:pt>
                <c:pt idx="216">
                  <c:v>4743.75</c:v>
                </c:pt>
                <c:pt idx="217">
                  <c:v>4443.75</c:v>
                </c:pt>
                <c:pt idx="218">
                  <c:v>3768.75</c:v>
                </c:pt>
                <c:pt idx="219">
                  <c:v>2737.5</c:v>
                </c:pt>
                <c:pt idx="220">
                  <c:v>3093.75</c:v>
                </c:pt>
                <c:pt idx="221">
                  <c:v>3206.25</c:v>
                </c:pt>
                <c:pt idx="222">
                  <c:v>5418.75</c:v>
                </c:pt>
                <c:pt idx="223">
                  <c:v>4893.75</c:v>
                </c:pt>
                <c:pt idx="224">
                  <c:v>4350</c:v>
                </c:pt>
                <c:pt idx="225">
                  <c:v>3525</c:v>
                </c:pt>
                <c:pt idx="226">
                  <c:v>6056.25</c:v>
                </c:pt>
                <c:pt idx="227">
                  <c:v>5943.75</c:v>
                </c:pt>
                <c:pt idx="228">
                  <c:v>5681.25</c:v>
                </c:pt>
                <c:pt idx="229">
                  <c:v>4912.5</c:v>
                </c:pt>
                <c:pt idx="230">
                  <c:v>4031.25</c:v>
                </c:pt>
                <c:pt idx="231">
                  <c:v>2793.75</c:v>
                </c:pt>
                <c:pt idx="232">
                  <c:v>3618.75</c:v>
                </c:pt>
                <c:pt idx="233">
                  <c:v>3150</c:v>
                </c:pt>
                <c:pt idx="234">
                  <c:v>5850</c:v>
                </c:pt>
                <c:pt idx="235">
                  <c:v>5850</c:v>
                </c:pt>
                <c:pt idx="236">
                  <c:v>5737.5</c:v>
                </c:pt>
                <c:pt idx="237">
                  <c:v>5025</c:v>
                </c:pt>
                <c:pt idx="238">
                  <c:v>3918.75</c:v>
                </c:pt>
                <c:pt idx="239">
                  <c:v>2812.5</c:v>
                </c:pt>
                <c:pt idx="240">
                  <c:v>4406.25</c:v>
                </c:pt>
                <c:pt idx="241">
                  <c:v>3937.5</c:v>
                </c:pt>
                <c:pt idx="242">
                  <c:v>7350</c:v>
                </c:pt>
                <c:pt idx="243">
                  <c:v>7350</c:v>
                </c:pt>
                <c:pt idx="244">
                  <c:v>7143.75</c:v>
                </c:pt>
                <c:pt idx="245">
                  <c:v>6056.25</c:v>
                </c:pt>
                <c:pt idx="246">
                  <c:v>4500</c:v>
                </c:pt>
                <c:pt idx="247">
                  <c:v>2568.75</c:v>
                </c:pt>
                <c:pt idx="248">
                  <c:v>2850</c:v>
                </c:pt>
                <c:pt idx="249">
                  <c:v>2962.5</c:v>
                </c:pt>
                <c:pt idx="250">
                  <c:v>7050</c:v>
                </c:pt>
                <c:pt idx="251">
                  <c:v>6318.75</c:v>
                </c:pt>
                <c:pt idx="252">
                  <c:v>5475</c:v>
                </c:pt>
                <c:pt idx="253">
                  <c:v>4556.25</c:v>
                </c:pt>
                <c:pt idx="254">
                  <c:v>3618.75</c:v>
                </c:pt>
                <c:pt idx="255">
                  <c:v>8775</c:v>
                </c:pt>
                <c:pt idx="256">
                  <c:v>8437.5</c:v>
                </c:pt>
                <c:pt idx="257">
                  <c:v>7406.25</c:v>
                </c:pt>
                <c:pt idx="258">
                  <c:v>5418.75</c:v>
                </c:pt>
                <c:pt idx="259">
                  <c:v>3993.75</c:v>
                </c:pt>
                <c:pt idx="260">
                  <c:v>2643.75</c:v>
                </c:pt>
                <c:pt idx="261">
                  <c:v>2681.25</c:v>
                </c:pt>
                <c:pt idx="262">
                  <c:v>3037.5</c:v>
                </c:pt>
                <c:pt idx="263">
                  <c:v>9112.5</c:v>
                </c:pt>
                <c:pt idx="264">
                  <c:v>9637.5</c:v>
                </c:pt>
                <c:pt idx="265">
                  <c:v>7743.75</c:v>
                </c:pt>
                <c:pt idx="266">
                  <c:v>5737.5</c:v>
                </c:pt>
                <c:pt idx="267">
                  <c:v>4443.75</c:v>
                </c:pt>
                <c:pt idx="268">
                  <c:v>2606.25</c:v>
                </c:pt>
                <c:pt idx="269">
                  <c:v>3168.75</c:v>
                </c:pt>
                <c:pt idx="270">
                  <c:v>3000</c:v>
                </c:pt>
                <c:pt idx="271">
                  <c:v>4706.25</c:v>
                </c:pt>
                <c:pt idx="272">
                  <c:v>4668.75</c:v>
                </c:pt>
                <c:pt idx="273">
                  <c:v>4593.75</c:v>
                </c:pt>
                <c:pt idx="274">
                  <c:v>4293.75</c:v>
                </c:pt>
                <c:pt idx="275">
                  <c:v>3768.75</c:v>
                </c:pt>
                <c:pt idx="276">
                  <c:v>3281.25</c:v>
                </c:pt>
                <c:pt idx="277">
                  <c:v>4181.25</c:v>
                </c:pt>
                <c:pt idx="278">
                  <c:v>11962.5</c:v>
                </c:pt>
                <c:pt idx="279">
                  <c:v>10687.5</c:v>
                </c:pt>
                <c:pt idx="280">
                  <c:v>8662.5</c:v>
                </c:pt>
                <c:pt idx="281">
                  <c:v>6206.25</c:v>
                </c:pt>
                <c:pt idx="282">
                  <c:v>4668.75</c:v>
                </c:pt>
                <c:pt idx="283">
                  <c:v>2325</c:v>
                </c:pt>
                <c:pt idx="284">
                  <c:v>3255</c:v>
                </c:pt>
                <c:pt idx="285">
                  <c:v>2175</c:v>
                </c:pt>
                <c:pt idx="286">
                  <c:v>2062.5</c:v>
                </c:pt>
                <c:pt idx="287">
                  <c:v>1875</c:v>
                </c:pt>
                <c:pt idx="288">
                  <c:v>1860</c:v>
                </c:pt>
                <c:pt idx="289">
                  <c:v>2175</c:v>
                </c:pt>
                <c:pt idx="290">
                  <c:v>1965</c:v>
                </c:pt>
                <c:pt idx="291">
                  <c:v>2325</c:v>
                </c:pt>
                <c:pt idx="292">
                  <c:v>2287.5</c:v>
                </c:pt>
                <c:pt idx="293">
                  <c:v>2610</c:v>
                </c:pt>
                <c:pt idx="294">
                  <c:v>2610</c:v>
                </c:pt>
                <c:pt idx="295">
                  <c:v>1965</c:v>
                </c:pt>
                <c:pt idx="296">
                  <c:v>1627.5</c:v>
                </c:pt>
                <c:pt idx="297">
                  <c:v>1627.5</c:v>
                </c:pt>
                <c:pt idx="298">
                  <c:v>6337.5</c:v>
                </c:pt>
                <c:pt idx="299">
                  <c:v>2400</c:v>
                </c:pt>
                <c:pt idx="300">
                  <c:v>4781.25</c:v>
                </c:pt>
                <c:pt idx="301">
                  <c:v>7106.25</c:v>
                </c:pt>
                <c:pt idx="302">
                  <c:v>2343.75</c:v>
                </c:pt>
                <c:pt idx="303">
                  <c:v>2332.5</c:v>
                </c:pt>
                <c:pt idx="304">
                  <c:v>2400</c:v>
                </c:pt>
                <c:pt idx="305">
                  <c:v>6337.5</c:v>
                </c:pt>
                <c:pt idx="306">
                  <c:v>4781.25</c:v>
                </c:pt>
                <c:pt idx="307">
                  <c:v>2437.5</c:v>
                </c:pt>
                <c:pt idx="308">
                  <c:v>2771.25</c:v>
                </c:pt>
                <c:pt idx="309">
                  <c:v>3562.5</c:v>
                </c:pt>
                <c:pt idx="310">
                  <c:v>5220</c:v>
                </c:pt>
                <c:pt idx="311">
                  <c:v>3877.5</c:v>
                </c:pt>
                <c:pt idx="312">
                  <c:v>6412.5</c:v>
                </c:pt>
                <c:pt idx="313">
                  <c:v>1650</c:v>
                </c:pt>
                <c:pt idx="314">
                  <c:v>7207.5</c:v>
                </c:pt>
                <c:pt idx="315">
                  <c:v>1650</c:v>
                </c:pt>
                <c:pt idx="316">
                  <c:v>1931.25</c:v>
                </c:pt>
                <c:pt idx="317">
                  <c:v>3093.75</c:v>
                </c:pt>
                <c:pt idx="318">
                  <c:v>4781.25</c:v>
                </c:pt>
                <c:pt idx="319">
                  <c:v>6225</c:v>
                </c:pt>
                <c:pt idx="320">
                  <c:v>1815</c:v>
                </c:pt>
                <c:pt idx="321">
                  <c:v>4338.75</c:v>
                </c:pt>
                <c:pt idx="322">
                  <c:v>5587.5</c:v>
                </c:pt>
                <c:pt idx="323">
                  <c:v>4518.75</c:v>
                </c:pt>
                <c:pt idx="324">
                  <c:v>3093.75</c:v>
                </c:pt>
                <c:pt idx="325">
                  <c:v>1931.25</c:v>
                </c:pt>
                <c:pt idx="326">
                  <c:v>1875</c:v>
                </c:pt>
                <c:pt idx="327">
                  <c:v>2100</c:v>
                </c:pt>
                <c:pt idx="328">
                  <c:v>1807.5</c:v>
                </c:pt>
                <c:pt idx="329">
                  <c:v>1931.25</c:v>
                </c:pt>
                <c:pt idx="330">
                  <c:v>1552.5</c:v>
                </c:pt>
                <c:pt idx="331">
                  <c:v>1931.25</c:v>
                </c:pt>
                <c:pt idx="332">
                  <c:v>1931.25</c:v>
                </c:pt>
                <c:pt idx="333">
                  <c:v>2587.5</c:v>
                </c:pt>
                <c:pt idx="334">
                  <c:v>1931.25</c:v>
                </c:pt>
                <c:pt idx="335">
                  <c:v>1800</c:v>
                </c:pt>
                <c:pt idx="336">
                  <c:v>2175</c:v>
                </c:pt>
                <c:pt idx="337">
                  <c:v>1642.5</c:v>
                </c:pt>
                <c:pt idx="338">
                  <c:v>6420</c:v>
                </c:pt>
                <c:pt idx="339">
                  <c:v>1837.5</c:v>
                </c:pt>
                <c:pt idx="340">
                  <c:v>1826.25</c:v>
                </c:pt>
                <c:pt idx="341">
                  <c:v>1713.75</c:v>
                </c:pt>
                <c:pt idx="342">
                  <c:v>1653.75</c:v>
                </c:pt>
                <c:pt idx="343">
                  <c:v>1837.5</c:v>
                </c:pt>
                <c:pt idx="344">
                  <c:v>1837.5</c:v>
                </c:pt>
                <c:pt idx="345">
                  <c:v>1560</c:v>
                </c:pt>
                <c:pt idx="346">
                  <c:v>2775</c:v>
                </c:pt>
                <c:pt idx="347">
                  <c:v>2988.75</c:v>
                </c:pt>
                <c:pt idx="348">
                  <c:v>9525</c:v>
                </c:pt>
                <c:pt idx="349">
                  <c:v>6517.5</c:v>
                </c:pt>
                <c:pt idx="350">
                  <c:v>10425</c:v>
                </c:pt>
                <c:pt idx="351">
                  <c:v>4395</c:v>
                </c:pt>
                <c:pt idx="352">
                  <c:v>3315</c:v>
                </c:pt>
                <c:pt idx="353">
                  <c:v>6352.5</c:v>
                </c:pt>
                <c:pt idx="354">
                  <c:v>4218.75</c:v>
                </c:pt>
                <c:pt idx="355">
                  <c:v>3412.5</c:v>
                </c:pt>
                <c:pt idx="356">
                  <c:v>3750</c:v>
                </c:pt>
                <c:pt idx="357">
                  <c:v>4526.25</c:v>
                </c:pt>
                <c:pt idx="358">
                  <c:v>3637.5</c:v>
                </c:pt>
                <c:pt idx="359">
                  <c:v>4125</c:v>
                </c:pt>
                <c:pt idx="360">
                  <c:v>4050</c:v>
                </c:pt>
                <c:pt idx="361">
                  <c:v>3993.75</c:v>
                </c:pt>
                <c:pt idx="362">
                  <c:v>4125</c:v>
                </c:pt>
                <c:pt idx="363">
                  <c:v>4050</c:v>
                </c:pt>
                <c:pt idx="364">
                  <c:v>3112.5</c:v>
                </c:pt>
                <c:pt idx="365">
                  <c:v>3221.25</c:v>
                </c:pt>
                <c:pt idx="366">
                  <c:v>3356.25</c:v>
                </c:pt>
                <c:pt idx="367">
                  <c:v>1668.75</c:v>
                </c:pt>
                <c:pt idx="368">
                  <c:v>1875</c:v>
                </c:pt>
                <c:pt idx="369">
                  <c:v>1931.25</c:v>
                </c:pt>
                <c:pt idx="370">
                  <c:v>2212.5</c:v>
                </c:pt>
                <c:pt idx="371">
                  <c:v>3375</c:v>
                </c:pt>
                <c:pt idx="372">
                  <c:v>2587.5</c:v>
                </c:pt>
                <c:pt idx="373">
                  <c:v>2437.5</c:v>
                </c:pt>
                <c:pt idx="374">
                  <c:v>2737.5</c:v>
                </c:pt>
                <c:pt idx="375">
                  <c:v>2325</c:v>
                </c:pt>
                <c:pt idx="376">
                  <c:v>2343.75</c:v>
                </c:pt>
                <c:pt idx="377">
                  <c:v>2343.75</c:v>
                </c:pt>
                <c:pt idx="378">
                  <c:v>3506.25</c:v>
                </c:pt>
                <c:pt idx="379">
                  <c:v>7781.25</c:v>
                </c:pt>
                <c:pt idx="380">
                  <c:v>5962.5</c:v>
                </c:pt>
                <c:pt idx="381">
                  <c:v>5175</c:v>
                </c:pt>
                <c:pt idx="382">
                  <c:v>3862.5</c:v>
                </c:pt>
                <c:pt idx="383">
                  <c:v>8550</c:v>
                </c:pt>
                <c:pt idx="384">
                  <c:v>6468.75</c:v>
                </c:pt>
                <c:pt idx="385">
                  <c:v>5850</c:v>
                </c:pt>
                <c:pt idx="386">
                  <c:v>3468.75</c:v>
                </c:pt>
                <c:pt idx="387">
                  <c:v>5175</c:v>
                </c:pt>
                <c:pt idx="388">
                  <c:v>2981.25</c:v>
                </c:pt>
                <c:pt idx="389">
                  <c:v>4950</c:v>
                </c:pt>
                <c:pt idx="390">
                  <c:v>4387.5</c:v>
                </c:pt>
                <c:pt idx="391">
                  <c:v>2197.5</c:v>
                </c:pt>
                <c:pt idx="392">
                  <c:v>7875</c:v>
                </c:pt>
                <c:pt idx="393">
                  <c:v>5816.25</c:v>
                </c:pt>
                <c:pt idx="394">
                  <c:v>1893.75</c:v>
                </c:pt>
                <c:pt idx="395">
                  <c:v>4950</c:v>
                </c:pt>
                <c:pt idx="396">
                  <c:v>4125</c:v>
                </c:pt>
                <c:pt idx="397">
                  <c:v>3937.5</c:v>
                </c:pt>
                <c:pt idx="398">
                  <c:v>2437.5</c:v>
                </c:pt>
                <c:pt idx="399">
                  <c:v>5400</c:v>
                </c:pt>
                <c:pt idx="400">
                  <c:v>9075</c:v>
                </c:pt>
                <c:pt idx="401">
                  <c:v>5437.5</c:v>
                </c:pt>
                <c:pt idx="402">
                  <c:v>3131.25</c:v>
                </c:pt>
                <c:pt idx="403">
                  <c:v>11100</c:v>
                </c:pt>
                <c:pt idx="404">
                  <c:v>5178.75</c:v>
                </c:pt>
                <c:pt idx="405">
                  <c:v>7743.75</c:v>
                </c:pt>
                <c:pt idx="406">
                  <c:v>5962.5</c:v>
                </c:pt>
                <c:pt idx="407">
                  <c:v>4912.5</c:v>
                </c:pt>
                <c:pt idx="408">
                  <c:v>3112.5</c:v>
                </c:pt>
                <c:pt idx="409">
                  <c:v>12412.5</c:v>
                </c:pt>
                <c:pt idx="410">
                  <c:v>3187.5</c:v>
                </c:pt>
                <c:pt idx="411">
                  <c:v>13950</c:v>
                </c:pt>
                <c:pt idx="412">
                  <c:v>3375</c:v>
                </c:pt>
                <c:pt idx="413">
                  <c:v>14283.75</c:v>
                </c:pt>
                <c:pt idx="414">
                  <c:v>7162.5</c:v>
                </c:pt>
                <c:pt idx="415">
                  <c:v>8137.5</c:v>
                </c:pt>
                <c:pt idx="416">
                  <c:v>7072.5</c:v>
                </c:pt>
                <c:pt idx="417">
                  <c:v>6528.75</c:v>
                </c:pt>
                <c:pt idx="418">
                  <c:v>8700</c:v>
                </c:pt>
                <c:pt idx="419">
                  <c:v>8325</c:v>
                </c:pt>
                <c:pt idx="420">
                  <c:v>8550</c:v>
                </c:pt>
                <c:pt idx="421">
                  <c:v>8137.5</c:v>
                </c:pt>
                <c:pt idx="422">
                  <c:v>7275</c:v>
                </c:pt>
                <c:pt idx="423">
                  <c:v>6825</c:v>
                </c:pt>
                <c:pt idx="424">
                  <c:v>6187.5</c:v>
                </c:pt>
                <c:pt idx="425">
                  <c:v>7785</c:v>
                </c:pt>
                <c:pt idx="426">
                  <c:v>6806.25</c:v>
                </c:pt>
                <c:pt idx="427">
                  <c:v>6258.75</c:v>
                </c:pt>
                <c:pt idx="428">
                  <c:v>5715</c:v>
                </c:pt>
                <c:pt idx="429">
                  <c:v>4080</c:v>
                </c:pt>
                <c:pt idx="430">
                  <c:v>9262.5</c:v>
                </c:pt>
                <c:pt idx="431">
                  <c:v>8437.5</c:v>
                </c:pt>
                <c:pt idx="432">
                  <c:v>7875</c:v>
                </c:pt>
                <c:pt idx="433">
                  <c:v>6930</c:v>
                </c:pt>
                <c:pt idx="434">
                  <c:v>6258.75</c:v>
                </c:pt>
                <c:pt idx="435">
                  <c:v>5561.25</c:v>
                </c:pt>
                <c:pt idx="436">
                  <c:v>4083.75</c:v>
                </c:pt>
                <c:pt idx="437">
                  <c:v>9262.5</c:v>
                </c:pt>
                <c:pt idx="438">
                  <c:v>8437.5</c:v>
                </c:pt>
                <c:pt idx="439">
                  <c:v>8175</c:v>
                </c:pt>
                <c:pt idx="440">
                  <c:v>8325</c:v>
                </c:pt>
                <c:pt idx="441">
                  <c:v>8437.5</c:v>
                </c:pt>
                <c:pt idx="442">
                  <c:v>8812.5</c:v>
                </c:pt>
                <c:pt idx="443">
                  <c:v>8137.5</c:v>
                </c:pt>
                <c:pt idx="444">
                  <c:v>7226.25</c:v>
                </c:pt>
                <c:pt idx="445">
                  <c:v>5715</c:v>
                </c:pt>
                <c:pt idx="446">
                  <c:v>4080</c:v>
                </c:pt>
                <c:pt idx="447">
                  <c:v>9150</c:v>
                </c:pt>
                <c:pt idx="448">
                  <c:v>8700</c:v>
                </c:pt>
                <c:pt idx="449">
                  <c:v>5171.25</c:v>
                </c:pt>
                <c:pt idx="450">
                  <c:v>10087.5</c:v>
                </c:pt>
                <c:pt idx="451">
                  <c:v>11137.5</c:v>
                </c:pt>
                <c:pt idx="452">
                  <c:v>10987.5</c:v>
                </c:pt>
                <c:pt idx="453">
                  <c:v>12037.5</c:v>
                </c:pt>
                <c:pt idx="454">
                  <c:v>8775</c:v>
                </c:pt>
                <c:pt idx="455">
                  <c:v>8362.5</c:v>
                </c:pt>
                <c:pt idx="456">
                  <c:v>6506.25</c:v>
                </c:pt>
                <c:pt idx="457">
                  <c:v>10350</c:v>
                </c:pt>
                <c:pt idx="458">
                  <c:v>9525</c:v>
                </c:pt>
                <c:pt idx="459">
                  <c:v>9000</c:v>
                </c:pt>
                <c:pt idx="460">
                  <c:v>7353.75</c:v>
                </c:pt>
                <c:pt idx="461">
                  <c:v>4901.25</c:v>
                </c:pt>
                <c:pt idx="462">
                  <c:v>10800</c:v>
                </c:pt>
                <c:pt idx="463">
                  <c:v>9000</c:v>
                </c:pt>
                <c:pt idx="464">
                  <c:v>14325</c:v>
                </c:pt>
                <c:pt idx="465">
                  <c:v>14775</c:v>
                </c:pt>
                <c:pt idx="466">
                  <c:v>15637.5</c:v>
                </c:pt>
                <c:pt idx="467">
                  <c:v>14137.5</c:v>
                </c:pt>
                <c:pt idx="468">
                  <c:v>15750</c:v>
                </c:pt>
                <c:pt idx="469">
                  <c:v>16275</c:v>
                </c:pt>
                <c:pt idx="470">
                  <c:v>12825</c:v>
                </c:pt>
                <c:pt idx="471">
                  <c:v>13350</c:v>
                </c:pt>
                <c:pt idx="472">
                  <c:v>15562.5</c:v>
                </c:pt>
                <c:pt idx="473">
                  <c:v>15562.5</c:v>
                </c:pt>
                <c:pt idx="474">
                  <c:v>15562.5</c:v>
                </c:pt>
                <c:pt idx="475">
                  <c:v>15266.25</c:v>
                </c:pt>
                <c:pt idx="476">
                  <c:v>16162.5</c:v>
                </c:pt>
                <c:pt idx="477">
                  <c:v>10173.75</c:v>
                </c:pt>
                <c:pt idx="478">
                  <c:v>9487.5</c:v>
                </c:pt>
                <c:pt idx="479">
                  <c:v>9828.75</c:v>
                </c:pt>
                <c:pt idx="480">
                  <c:v>12375</c:v>
                </c:pt>
                <c:pt idx="481">
                  <c:v>8587.5</c:v>
                </c:pt>
                <c:pt idx="482">
                  <c:v>10537.5</c:v>
                </c:pt>
                <c:pt idx="483">
                  <c:v>9408.75</c:v>
                </c:pt>
                <c:pt idx="484">
                  <c:v>9348.75</c:v>
                </c:pt>
                <c:pt idx="485">
                  <c:v>7875</c:v>
                </c:pt>
                <c:pt idx="486">
                  <c:v>10800</c:v>
                </c:pt>
                <c:pt idx="487">
                  <c:v>7533.75</c:v>
                </c:pt>
                <c:pt idx="488">
                  <c:v>11175</c:v>
                </c:pt>
                <c:pt idx="489">
                  <c:v>3825</c:v>
                </c:pt>
                <c:pt idx="490">
                  <c:v>13462.5</c:v>
                </c:pt>
                <c:pt idx="491">
                  <c:v>5700</c:v>
                </c:pt>
                <c:pt idx="492">
                  <c:v>2853.75</c:v>
                </c:pt>
                <c:pt idx="493">
                  <c:v>13462.5</c:v>
                </c:pt>
                <c:pt idx="494">
                  <c:v>6225</c:v>
                </c:pt>
                <c:pt idx="495">
                  <c:v>14775</c:v>
                </c:pt>
                <c:pt idx="496">
                  <c:v>14775</c:v>
                </c:pt>
                <c:pt idx="497">
                  <c:v>15262.5</c:v>
                </c:pt>
                <c:pt idx="498">
                  <c:v>15562.5</c:v>
                </c:pt>
                <c:pt idx="499">
                  <c:v>15562.5</c:v>
                </c:pt>
                <c:pt idx="500">
                  <c:v>8010</c:v>
                </c:pt>
                <c:pt idx="501">
                  <c:v>6945</c:v>
                </c:pt>
                <c:pt idx="502">
                  <c:v>15562.5</c:v>
                </c:pt>
                <c:pt idx="503">
                  <c:v>15562.5</c:v>
                </c:pt>
                <c:pt idx="504">
                  <c:v>13912.5</c:v>
                </c:pt>
                <c:pt idx="505">
                  <c:v>14737.5</c:v>
                </c:pt>
                <c:pt idx="506">
                  <c:v>16387.5</c:v>
                </c:pt>
                <c:pt idx="507">
                  <c:v>18112.5</c:v>
                </c:pt>
                <c:pt idx="508">
                  <c:v>16950</c:v>
                </c:pt>
                <c:pt idx="509">
                  <c:v>17212.5</c:v>
                </c:pt>
                <c:pt idx="510">
                  <c:v>16387.5</c:v>
                </c:pt>
                <c:pt idx="511">
                  <c:v>16387.5</c:v>
                </c:pt>
                <c:pt idx="512">
                  <c:v>16387.5</c:v>
                </c:pt>
                <c:pt idx="513">
                  <c:v>7725</c:v>
                </c:pt>
                <c:pt idx="514">
                  <c:v>13912.5</c:v>
                </c:pt>
                <c:pt idx="515">
                  <c:v>13912.5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CFC5-284C-8CC8-BD5926EBBEF4}"/>
            </c:ext>
          </c:extLst>
        </c:ser>
        <c:ser>
          <c:idx val="0"/>
          <c:order val="0"/>
          <c:tx>
            <c:v>Titanium alloys</c:v>
          </c:tx>
          <c:spPr>
            <a:ln w="31750">
              <a:noFill/>
            </a:ln>
          </c:spPr>
          <c:marker>
            <c:symbol val="diamond"/>
            <c:size val="9"/>
            <c:spPr>
              <a:solidFill>
                <a:srgbClr val="58595B"/>
              </a:solidFill>
              <a:ln>
                <a:noFill/>
              </a:ln>
            </c:spPr>
          </c:marker>
          <c:xVal>
            <c:numRef>
              <c:f>[3]Foglio3!$F$3:$F$45</c:f>
              <c:numCache>
                <c:formatCode>General</c:formatCode>
                <c:ptCount val="43"/>
                <c:pt idx="0">
                  <c:v>3539.1450999999997</c:v>
                </c:pt>
                <c:pt idx="1">
                  <c:v>3691.8744999999999</c:v>
                </c:pt>
                <c:pt idx="2">
                  <c:v>252.71769599999999</c:v>
                </c:pt>
                <c:pt idx="3">
                  <c:v>982.44899999999996</c:v>
                </c:pt>
                <c:pt idx="4">
                  <c:v>1763.5335799999998</c:v>
                </c:pt>
                <c:pt idx="5">
                  <c:v>240.41270374999999</c:v>
                </c:pt>
                <c:pt idx="6">
                  <c:v>240.41270374999999</c:v>
                </c:pt>
                <c:pt idx="7">
                  <c:v>240.41270374999999</c:v>
                </c:pt>
                <c:pt idx="8">
                  <c:v>633.06308999999999</c:v>
                </c:pt>
                <c:pt idx="9">
                  <c:v>395.8450125</c:v>
                </c:pt>
                <c:pt idx="10">
                  <c:v>396.7395775</c:v>
                </c:pt>
                <c:pt idx="11">
                  <c:v>396.7395775</c:v>
                </c:pt>
                <c:pt idx="12">
                  <c:v>396.29229499999997</c:v>
                </c:pt>
                <c:pt idx="13">
                  <c:v>547.08475499999997</c:v>
                </c:pt>
                <c:pt idx="14">
                  <c:v>547.08475499999997</c:v>
                </c:pt>
                <c:pt idx="15">
                  <c:v>547.08475499999997</c:v>
                </c:pt>
                <c:pt idx="16">
                  <c:v>1180.2294039999999</c:v>
                </c:pt>
                <c:pt idx="17">
                  <c:v>1298.2894675</c:v>
                </c:pt>
                <c:pt idx="18">
                  <c:v>1414.7059837500003</c:v>
                </c:pt>
                <c:pt idx="19">
                  <c:v>1414.7059837500003</c:v>
                </c:pt>
                <c:pt idx="20">
                  <c:v>2179.9486537500002</c:v>
                </c:pt>
                <c:pt idx="21">
                  <c:v>2177.7399925000004</c:v>
                </c:pt>
                <c:pt idx="22">
                  <c:v>1552.6084700000004</c:v>
                </c:pt>
                <c:pt idx="23">
                  <c:v>1552.6084700000004</c:v>
                </c:pt>
                <c:pt idx="24">
                  <c:v>1273.2793905000001</c:v>
                </c:pt>
                <c:pt idx="25">
                  <c:v>40.748752000000003</c:v>
                </c:pt>
                <c:pt idx="26">
                  <c:v>477.82499999999999</c:v>
                </c:pt>
                <c:pt idx="27">
                  <c:v>246.09160799999998</c:v>
                </c:pt>
                <c:pt idx="28">
                  <c:v>132.79174999999998</c:v>
                </c:pt>
                <c:pt idx="29">
                  <c:v>240.20723999999998</c:v>
                </c:pt>
                <c:pt idx="30">
                  <c:v>221.25712699999997</c:v>
                </c:pt>
                <c:pt idx="31">
                  <c:v>456.27000000000004</c:v>
                </c:pt>
                <c:pt idx="32">
                  <c:v>456.27000000000004</c:v>
                </c:pt>
                <c:pt idx="33">
                  <c:v>456.27000000000004</c:v>
                </c:pt>
                <c:pt idx="34">
                  <c:v>1013.3663624999999</c:v>
                </c:pt>
                <c:pt idx="35">
                  <c:v>2337.807225</c:v>
                </c:pt>
                <c:pt idx="36">
                  <c:v>424.68422125000001</c:v>
                </c:pt>
                <c:pt idx="37">
                  <c:v>109.324185</c:v>
                </c:pt>
                <c:pt idx="38">
                  <c:v>10.329104000000001</c:v>
                </c:pt>
                <c:pt idx="39">
                  <c:v>10.317678000000001</c:v>
                </c:pt>
                <c:pt idx="40">
                  <c:v>10.317678000000001</c:v>
                </c:pt>
                <c:pt idx="41">
                  <c:v>10.386234000000002</c:v>
                </c:pt>
                <c:pt idx="42">
                  <c:v>10.306252000000001</c:v>
                </c:pt>
              </c:numCache>
            </c:numRef>
          </c:xVal>
          <c:yVal>
            <c:numRef>
              <c:f>[3]Foglio3!$G$3:$G$45</c:f>
              <c:numCache>
                <c:formatCode>General</c:formatCode>
                <c:ptCount val="43"/>
                <c:pt idx="0">
                  <c:v>3457.4</c:v>
                </c:pt>
                <c:pt idx="1">
                  <c:v>4678.7000000000007</c:v>
                </c:pt>
                <c:pt idx="2">
                  <c:v>3253.8500000000004</c:v>
                </c:pt>
                <c:pt idx="3">
                  <c:v>4926.5</c:v>
                </c:pt>
                <c:pt idx="4">
                  <c:v>5870.5</c:v>
                </c:pt>
                <c:pt idx="5">
                  <c:v>6321.85</c:v>
                </c:pt>
                <c:pt idx="6">
                  <c:v>6873.5</c:v>
                </c:pt>
                <c:pt idx="7">
                  <c:v>5849.85</c:v>
                </c:pt>
                <c:pt idx="8">
                  <c:v>6401.5</c:v>
                </c:pt>
                <c:pt idx="9">
                  <c:v>6195</c:v>
                </c:pt>
                <c:pt idx="10">
                  <c:v>5003.2000000000007</c:v>
                </c:pt>
                <c:pt idx="11">
                  <c:v>4967.8</c:v>
                </c:pt>
                <c:pt idx="12">
                  <c:v>5596.1500000000005</c:v>
                </c:pt>
                <c:pt idx="13">
                  <c:v>5369</c:v>
                </c:pt>
                <c:pt idx="14">
                  <c:v>5702.35</c:v>
                </c:pt>
                <c:pt idx="15">
                  <c:v>6091.75</c:v>
                </c:pt>
                <c:pt idx="16">
                  <c:v>5310</c:v>
                </c:pt>
                <c:pt idx="17">
                  <c:v>6065.2000000000007</c:v>
                </c:pt>
                <c:pt idx="18">
                  <c:v>5135.9500000000007</c:v>
                </c:pt>
                <c:pt idx="19">
                  <c:v>6844</c:v>
                </c:pt>
                <c:pt idx="20">
                  <c:v>5224.4500000000007</c:v>
                </c:pt>
                <c:pt idx="21">
                  <c:v>6029.8</c:v>
                </c:pt>
                <c:pt idx="22">
                  <c:v>4489.9000000000005</c:v>
                </c:pt>
                <c:pt idx="23">
                  <c:v>6003.25</c:v>
                </c:pt>
                <c:pt idx="24">
                  <c:v>6667</c:v>
                </c:pt>
                <c:pt idx="25">
                  <c:v>2404.25</c:v>
                </c:pt>
                <c:pt idx="26">
                  <c:v>6136</c:v>
                </c:pt>
                <c:pt idx="27">
                  <c:v>4838</c:v>
                </c:pt>
                <c:pt idx="28">
                  <c:v>5897.05</c:v>
                </c:pt>
                <c:pt idx="29">
                  <c:v>5369</c:v>
                </c:pt>
                <c:pt idx="30">
                  <c:v>5256.9000000000005</c:v>
                </c:pt>
                <c:pt idx="31">
                  <c:v>5354.25</c:v>
                </c:pt>
                <c:pt idx="32">
                  <c:v>5135.9500000000007</c:v>
                </c:pt>
                <c:pt idx="33">
                  <c:v>5784.9500000000007</c:v>
                </c:pt>
                <c:pt idx="34">
                  <c:v>6224.5</c:v>
                </c:pt>
                <c:pt idx="35">
                  <c:v>5012.05</c:v>
                </c:pt>
                <c:pt idx="36">
                  <c:v>6519.5</c:v>
                </c:pt>
                <c:pt idx="37">
                  <c:v>5192</c:v>
                </c:pt>
                <c:pt idx="38">
                  <c:v>1215.4000000000001</c:v>
                </c:pt>
                <c:pt idx="39">
                  <c:v>1876.2</c:v>
                </c:pt>
                <c:pt idx="40">
                  <c:v>2504.5500000000002</c:v>
                </c:pt>
                <c:pt idx="41">
                  <c:v>3106.3500000000004</c:v>
                </c:pt>
                <c:pt idx="42">
                  <c:v>1932.2500000000002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CFC5-284C-8CC8-BD5926EBBEF4}"/>
            </c:ext>
          </c:extLst>
        </c:ser>
        <c:ser>
          <c:idx val="5"/>
          <c:order val="5"/>
          <c:marker>
            <c:symbol val="none"/>
          </c:marker>
          <c:xVal>
            <c:numRef>
              <c:f>[3]Foglio3!$F$3:$F$45</c:f>
              <c:numCache>
                <c:formatCode>General</c:formatCode>
                <c:ptCount val="43"/>
                <c:pt idx="0">
                  <c:v>3539.1450999999997</c:v>
                </c:pt>
                <c:pt idx="1">
                  <c:v>3691.8744999999999</c:v>
                </c:pt>
                <c:pt idx="2">
                  <c:v>252.71769599999999</c:v>
                </c:pt>
                <c:pt idx="3">
                  <c:v>982.44899999999996</c:v>
                </c:pt>
                <c:pt idx="4">
                  <c:v>1763.5335799999998</c:v>
                </c:pt>
                <c:pt idx="5">
                  <c:v>240.41270374999999</c:v>
                </c:pt>
                <c:pt idx="6">
                  <c:v>240.41270374999999</c:v>
                </c:pt>
                <c:pt idx="7">
                  <c:v>240.41270374999999</c:v>
                </c:pt>
                <c:pt idx="8">
                  <c:v>633.06308999999999</c:v>
                </c:pt>
                <c:pt idx="9">
                  <c:v>395.8450125</c:v>
                </c:pt>
                <c:pt idx="10">
                  <c:v>396.7395775</c:v>
                </c:pt>
                <c:pt idx="11">
                  <c:v>396.7395775</c:v>
                </c:pt>
                <c:pt idx="12">
                  <c:v>396.29229499999997</c:v>
                </c:pt>
                <c:pt idx="13">
                  <c:v>547.08475499999997</c:v>
                </c:pt>
                <c:pt idx="14">
                  <c:v>547.08475499999997</c:v>
                </c:pt>
                <c:pt idx="15">
                  <c:v>547.08475499999997</c:v>
                </c:pt>
                <c:pt idx="16">
                  <c:v>1180.2294039999999</c:v>
                </c:pt>
                <c:pt idx="17">
                  <c:v>1298.2894675</c:v>
                </c:pt>
                <c:pt idx="18">
                  <c:v>1414.7059837500003</c:v>
                </c:pt>
                <c:pt idx="19">
                  <c:v>1414.7059837500003</c:v>
                </c:pt>
                <c:pt idx="20">
                  <c:v>2179.9486537500002</c:v>
                </c:pt>
                <c:pt idx="21">
                  <c:v>2177.7399925000004</c:v>
                </c:pt>
                <c:pt idx="22">
                  <c:v>1552.6084700000004</c:v>
                </c:pt>
                <c:pt idx="23">
                  <c:v>1552.6084700000004</c:v>
                </c:pt>
                <c:pt idx="24">
                  <c:v>1273.2793905000001</c:v>
                </c:pt>
                <c:pt idx="25">
                  <c:v>40.748752000000003</c:v>
                </c:pt>
                <c:pt idx="26">
                  <c:v>477.82499999999999</c:v>
                </c:pt>
                <c:pt idx="27">
                  <c:v>246.09160799999998</c:v>
                </c:pt>
                <c:pt idx="28">
                  <c:v>132.79174999999998</c:v>
                </c:pt>
                <c:pt idx="29">
                  <c:v>240.20723999999998</c:v>
                </c:pt>
                <c:pt idx="30">
                  <c:v>221.25712699999997</c:v>
                </c:pt>
                <c:pt idx="31">
                  <c:v>456.27000000000004</c:v>
                </c:pt>
                <c:pt idx="32">
                  <c:v>456.27000000000004</c:v>
                </c:pt>
                <c:pt idx="33">
                  <c:v>456.27000000000004</c:v>
                </c:pt>
                <c:pt idx="34">
                  <c:v>1013.3663624999999</c:v>
                </c:pt>
                <c:pt idx="35">
                  <c:v>2337.807225</c:v>
                </c:pt>
                <c:pt idx="36">
                  <c:v>424.68422125000001</c:v>
                </c:pt>
                <c:pt idx="37">
                  <c:v>109.324185</c:v>
                </c:pt>
                <c:pt idx="38">
                  <c:v>10.329104000000001</c:v>
                </c:pt>
                <c:pt idx="39">
                  <c:v>10.317678000000001</c:v>
                </c:pt>
                <c:pt idx="40">
                  <c:v>10.317678000000001</c:v>
                </c:pt>
                <c:pt idx="41">
                  <c:v>10.386234000000002</c:v>
                </c:pt>
                <c:pt idx="42">
                  <c:v>10.306252000000001</c:v>
                </c:pt>
              </c:numCache>
            </c:numRef>
          </c:xVal>
          <c:yVal>
            <c:numRef>
              <c:f>[3]Foglio2!$B$44</c:f>
              <c:numCache>
                <c:formatCode>General</c:formatCode>
                <c:ptCount val="1"/>
                <c:pt idx="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CFC5-284C-8CC8-BD5926EBBE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9618376"/>
        <c:axId val="2084438280"/>
      </c:scatterChart>
      <c:valAx>
        <c:axId val="-2109618376"/>
        <c:scaling>
          <c:logBase val="10"/>
          <c:orientation val="minMax"/>
        </c:scaling>
        <c:delete val="0"/>
        <c:axPos val="b"/>
        <c:numFmt formatCode="General" sourceLinked="1"/>
        <c:majorTickMark val="in"/>
        <c:minorTickMark val="in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Titillium" pitchFamily="2" charset="77"/>
                <a:cs typeface="Times New Roman"/>
              </a:defRPr>
            </a:pPr>
            <a:endParaRPr lang="it-IT"/>
          </a:p>
        </c:txPr>
        <c:crossAx val="2084438280"/>
        <c:crosses val="autoZero"/>
        <c:crossBetween val="midCat"/>
      </c:valAx>
      <c:valAx>
        <c:axId val="2084438280"/>
        <c:scaling>
          <c:logBase val="10"/>
          <c:orientation val="minMax"/>
          <c:max val="100000"/>
          <c:min val="10"/>
        </c:scaling>
        <c:delete val="0"/>
        <c:axPos val="l"/>
        <c:numFmt formatCode="General" sourceLinked="1"/>
        <c:majorTickMark val="in"/>
        <c:minorTickMark val="in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400">
                <a:latin typeface="Titillium" pitchFamily="2" charset="77"/>
                <a:cs typeface="Times New Roman"/>
              </a:defRPr>
            </a:pPr>
            <a:endParaRPr lang="it-IT"/>
          </a:p>
        </c:txPr>
        <c:crossAx val="-2109618376"/>
        <c:crosses val="autoZero"/>
        <c:crossBetween val="midCat"/>
      </c:valAx>
      <c:spPr>
        <a:ln w="12700">
          <a:solidFill>
            <a:schemeClr val="tx1"/>
          </a:solidFill>
        </a:ln>
      </c:spPr>
    </c:plotArea>
    <c:legend>
      <c:legendPos val="r"/>
      <c:legendEntry>
        <c:idx val="0"/>
        <c:delete val="1"/>
      </c:legendEntry>
      <c:legendEntry>
        <c:idx val="5"/>
        <c:delete val="1"/>
      </c:legendEntry>
      <c:layout>
        <c:manualLayout>
          <c:xMode val="edge"/>
          <c:yMode val="edge"/>
          <c:x val="0.44266810871630402"/>
          <c:y val="0.64865780296378905"/>
          <c:w val="0.484285261901088"/>
          <c:h val="0.13849082354631301"/>
        </c:manualLayout>
      </c:layout>
      <c:overlay val="0"/>
      <c:txPr>
        <a:bodyPr/>
        <a:lstStyle/>
        <a:p>
          <a:pPr>
            <a:defRPr sz="1800">
              <a:latin typeface="Titillium" pitchFamily="2" charset="77"/>
              <a:cs typeface="Times New Roman"/>
            </a:defRPr>
          </a:pPr>
          <a:endParaRPr lang="it-IT"/>
        </a:p>
      </c:txPr>
    </c:legend>
    <c:plotVisOnly val="1"/>
    <c:dispBlanksAs val="gap"/>
    <c:showDLblsOverMax val="0"/>
  </c:chart>
  <c:spPr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123" workbookViewId="0" zoomToFit="1"/>
  </sheetViews>
  <pageMargins left="0.75" right="0.75" top="1" bottom="1" header="0.5" footer="0.5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tabSelected="1" zoomScale="123" workbookViewId="0" zoomToFit="1"/>
  </sheetViews>
  <pageMargins left="0.75" right="0.75" top="1" bottom="1" header="0.5" footer="0.5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3008" cy="6071220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3008" cy="6071220"/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0.74605</cdr:x>
      <cdr:y>0.35651</cdr:y>
    </cdr:from>
    <cdr:to>
      <cdr:x>0.78854</cdr:x>
      <cdr:y>0.55292</cdr:y>
    </cdr:to>
    <cdr:sp macro="" textlink="">
      <cdr:nvSpPr>
        <cdr:cNvPr id="2" name="Ovale 1"/>
        <cdr:cNvSpPr/>
      </cdr:nvSpPr>
      <cdr:spPr>
        <a:xfrm xmlns:a="http://schemas.openxmlformats.org/drawingml/2006/main">
          <a:off x="6943155" y="2166050"/>
          <a:ext cx="395436" cy="1193305"/>
        </a:xfrm>
        <a:prstGeom xmlns:a="http://schemas.openxmlformats.org/drawingml/2006/main" prst="ellipse">
          <a:avLst/>
        </a:prstGeom>
        <a:solidFill xmlns:a="http://schemas.openxmlformats.org/drawingml/2006/main">
          <a:srgbClr val="004394">
            <a:alpha val="26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0.29493</cdr:x>
      <cdr:y>0.22027</cdr:y>
    </cdr:from>
    <cdr:to>
      <cdr:x>0.74541</cdr:x>
      <cdr:y>0.42645</cdr:y>
    </cdr:to>
    <cdr:sp macro="" textlink="">
      <cdr:nvSpPr>
        <cdr:cNvPr id="3" name="Ovale 2"/>
        <cdr:cNvSpPr/>
      </cdr:nvSpPr>
      <cdr:spPr>
        <a:xfrm xmlns:a="http://schemas.openxmlformats.org/drawingml/2006/main" rot="4888398">
          <a:off x="4214655" y="-131548"/>
          <a:ext cx="1252645" cy="4192370"/>
        </a:xfrm>
        <a:prstGeom xmlns:a="http://schemas.openxmlformats.org/drawingml/2006/main" prst="ellipse">
          <a:avLst/>
        </a:prstGeom>
        <a:solidFill xmlns:a="http://schemas.openxmlformats.org/drawingml/2006/main">
          <a:srgbClr val="58595B">
            <a:alpha val="25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0.38127</cdr:x>
      <cdr:y>0.12364</cdr:y>
    </cdr:from>
    <cdr:to>
      <cdr:x>0.84051</cdr:x>
      <cdr:y>0.4633</cdr:y>
    </cdr:to>
    <cdr:sp macro="" textlink="">
      <cdr:nvSpPr>
        <cdr:cNvPr id="4" name="Ovale 3"/>
        <cdr:cNvSpPr/>
      </cdr:nvSpPr>
      <cdr:spPr>
        <a:xfrm xmlns:a="http://schemas.openxmlformats.org/drawingml/2006/main" rot="4888398">
          <a:off x="4653421" y="-353904"/>
          <a:ext cx="2063665" cy="4273915"/>
        </a:xfrm>
        <a:prstGeom xmlns:a="http://schemas.openxmlformats.org/drawingml/2006/main" prst="ellipse">
          <a:avLst/>
        </a:prstGeom>
        <a:solidFill xmlns:a="http://schemas.openxmlformats.org/drawingml/2006/main">
          <a:srgbClr val="698FC0">
            <a:alpha val="26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0.27459</cdr:x>
      <cdr:y>0.2611</cdr:y>
    </cdr:from>
    <cdr:to>
      <cdr:x>0.6862</cdr:x>
      <cdr:y>0.58694</cdr:y>
    </cdr:to>
    <cdr:sp macro="" textlink="">
      <cdr:nvSpPr>
        <cdr:cNvPr id="5" name="Ovale 4"/>
        <cdr:cNvSpPr/>
      </cdr:nvSpPr>
      <cdr:spPr>
        <a:xfrm xmlns:a="http://schemas.openxmlformats.org/drawingml/2006/main" rot="4320549">
          <a:off x="3480980" y="660859"/>
          <a:ext cx="1979700" cy="3830673"/>
        </a:xfrm>
        <a:prstGeom xmlns:a="http://schemas.openxmlformats.org/drawingml/2006/main" prst="ellipse">
          <a:avLst/>
        </a:prstGeom>
        <a:solidFill xmlns:a="http://schemas.openxmlformats.org/drawingml/2006/main">
          <a:srgbClr val="6CB845">
            <a:alpha val="26000"/>
          </a:srgbClr>
        </a:solidFill>
        <a:ln xmlns:a="http://schemas.openxmlformats.org/drawingml/2006/main">
          <a:noFill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it-IT"/>
        </a:p>
      </cdr:txBody>
    </cdr:sp>
  </cdr:relSizeAnchor>
  <cdr:relSizeAnchor xmlns:cdr="http://schemas.openxmlformats.org/drawingml/2006/chartDrawing">
    <cdr:from>
      <cdr:x>0.23005</cdr:x>
      <cdr:y>0.17487</cdr:y>
    </cdr:from>
    <cdr:to>
      <cdr:x>0.38446</cdr:x>
      <cdr:y>0.22411</cdr:y>
    </cdr:to>
    <cdr:sp macro="" textlink="">
      <cdr:nvSpPr>
        <cdr:cNvPr id="6" name="Rettangolo 5"/>
        <cdr:cNvSpPr/>
      </cdr:nvSpPr>
      <cdr:spPr>
        <a:xfrm xmlns:a="http://schemas.openxmlformats.org/drawingml/2006/main">
          <a:off x="2119849" y="983534"/>
          <a:ext cx="1422782" cy="276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it-IT">
              <a:solidFill>
                <a:schemeClr val="tx1"/>
              </a:solidFill>
              <a:latin typeface="Titillium" pitchFamily="2" charset="77"/>
              <a:cs typeface="Times New Roman"/>
            </a:rPr>
            <a:t>EN-AW 2297 T87</a:t>
          </a:r>
        </a:p>
      </cdr:txBody>
    </cdr:sp>
  </cdr:relSizeAnchor>
  <cdr:relSizeAnchor xmlns:cdr="http://schemas.openxmlformats.org/drawingml/2006/chartDrawing">
    <cdr:from>
      <cdr:x>0.30725</cdr:x>
      <cdr:y>0.22411</cdr:y>
    </cdr:from>
    <cdr:to>
      <cdr:x>0.36166</cdr:x>
      <cdr:y>0.34295</cdr:y>
    </cdr:to>
    <cdr:cxnSp macro="">
      <cdr:nvCxnSpPr>
        <cdr:cNvPr id="8" name="Connettore 2 7">
          <a:extLst xmlns:a="http://schemas.openxmlformats.org/drawingml/2006/main">
            <a:ext uri="{FF2B5EF4-FFF2-40B4-BE49-F238E27FC236}">
              <a16:creationId xmlns:a16="http://schemas.microsoft.com/office/drawing/2014/main" id="{B320EDE7-2111-6147-AB87-E3E74E5860BA}"/>
            </a:ext>
          </a:extLst>
        </cdr:cNvPr>
        <cdr:cNvCxnSpPr>
          <a:stCxn xmlns:a="http://schemas.openxmlformats.org/drawingml/2006/main" id="6" idx="2"/>
        </cdr:cNvCxnSpPr>
      </cdr:nvCxnSpPr>
      <cdr:spPr>
        <a:xfrm xmlns:a="http://schemas.openxmlformats.org/drawingml/2006/main">
          <a:off x="2831240" y="1260451"/>
          <a:ext cx="501316" cy="668421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arrow"/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0.20311</cdr:x>
      <cdr:y>0.23599</cdr:y>
    </cdr:from>
    <cdr:to>
      <cdr:x>0.31192</cdr:x>
      <cdr:y>0.28523</cdr:y>
    </cdr:to>
    <cdr:sp macro="" textlink="">
      <cdr:nvSpPr>
        <cdr:cNvPr id="10" name="Rettangolo 9"/>
        <cdr:cNvSpPr/>
      </cdr:nvSpPr>
      <cdr:spPr>
        <a:xfrm xmlns:a="http://schemas.openxmlformats.org/drawingml/2006/main">
          <a:off x="1871578" y="1327293"/>
          <a:ext cx="1002633" cy="276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it-IT">
              <a:solidFill>
                <a:schemeClr val="tx1"/>
              </a:solidFill>
              <a:latin typeface="Titillium" pitchFamily="2" charset="77"/>
              <a:cs typeface="Times New Roman"/>
            </a:rPr>
            <a:t>Ti, grade 4</a:t>
          </a:r>
        </a:p>
      </cdr:txBody>
    </cdr:sp>
  </cdr:relSizeAnchor>
  <cdr:relSizeAnchor xmlns:cdr="http://schemas.openxmlformats.org/drawingml/2006/chartDrawing">
    <cdr:from>
      <cdr:x>0.25751</cdr:x>
      <cdr:y>0.28523</cdr:y>
    </cdr:from>
    <cdr:to>
      <cdr:x>0.32021</cdr:x>
      <cdr:y>0.32258</cdr:y>
    </cdr:to>
    <cdr:cxnSp macro="">
      <cdr:nvCxnSpPr>
        <cdr:cNvPr id="11" name="Connettore 2 10">
          <a:extLst xmlns:a="http://schemas.openxmlformats.org/drawingml/2006/main">
            <a:ext uri="{FF2B5EF4-FFF2-40B4-BE49-F238E27FC236}">
              <a16:creationId xmlns:a16="http://schemas.microsoft.com/office/drawing/2014/main" id="{FCE11C04-18EB-CC44-BD6D-E4141577052A}"/>
            </a:ext>
          </a:extLst>
        </cdr:cNvPr>
        <cdr:cNvCxnSpPr>
          <a:stCxn xmlns:a="http://schemas.openxmlformats.org/drawingml/2006/main" id="10" idx="2"/>
        </cdr:cNvCxnSpPr>
      </cdr:nvCxnSpPr>
      <cdr:spPr>
        <a:xfrm xmlns:a="http://schemas.openxmlformats.org/drawingml/2006/main">
          <a:off x="2372895" y="1604210"/>
          <a:ext cx="577707" cy="210076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arrow"/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0.29948</cdr:x>
      <cdr:y>0.09508</cdr:y>
    </cdr:from>
    <cdr:to>
      <cdr:x>0.46839</cdr:x>
      <cdr:y>0.14431</cdr:y>
    </cdr:to>
    <cdr:sp macro="" textlink="">
      <cdr:nvSpPr>
        <cdr:cNvPr id="16" name="Rettangolo 15"/>
        <cdr:cNvSpPr/>
      </cdr:nvSpPr>
      <cdr:spPr>
        <a:xfrm xmlns:a="http://schemas.openxmlformats.org/drawingml/2006/main">
          <a:off x="2759622" y="534737"/>
          <a:ext cx="1556467" cy="2769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it-IT">
              <a:solidFill>
                <a:schemeClr val="tx1"/>
              </a:solidFill>
              <a:latin typeface="Titillium" pitchFamily="2" charset="77"/>
              <a:cs typeface="Times New Roman"/>
            </a:rPr>
            <a:t>UNS G12144, as rolled</a:t>
          </a:r>
        </a:p>
      </cdr:txBody>
    </cdr:sp>
  </cdr:relSizeAnchor>
  <cdr:relSizeAnchor xmlns:cdr="http://schemas.openxmlformats.org/drawingml/2006/chartDrawing">
    <cdr:from>
      <cdr:x>0.37409</cdr:x>
      <cdr:y>0.13752</cdr:y>
    </cdr:from>
    <cdr:to>
      <cdr:x>0.39378</cdr:x>
      <cdr:y>0.32258</cdr:y>
    </cdr:to>
    <cdr:cxnSp macro="">
      <cdr:nvCxnSpPr>
        <cdr:cNvPr id="18" name="Connettore 2 17">
          <a:extLst xmlns:a="http://schemas.openxmlformats.org/drawingml/2006/main">
            <a:ext uri="{FF2B5EF4-FFF2-40B4-BE49-F238E27FC236}">
              <a16:creationId xmlns:a16="http://schemas.microsoft.com/office/drawing/2014/main" id="{F137D8D2-F7C5-AD4D-AF1E-9BD85D54716C}"/>
            </a:ext>
          </a:extLst>
        </cdr:cNvPr>
        <cdr:cNvCxnSpPr/>
      </cdr:nvCxnSpPr>
      <cdr:spPr>
        <a:xfrm xmlns:a="http://schemas.openxmlformats.org/drawingml/2006/main">
          <a:off x="3447143" y="773459"/>
          <a:ext cx="181428" cy="1040827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/>
          </a:solidFill>
          <a:tailEnd type="arrow"/>
        </a:ln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0.47666</cdr:x>
      <cdr:y>0.87351</cdr:y>
    </cdr:from>
    <cdr:to>
      <cdr:x>0.64557</cdr:x>
      <cdr:y>0.93829</cdr:y>
    </cdr:to>
    <cdr:sp macro="" textlink="">
      <cdr:nvSpPr>
        <cdr:cNvPr id="12" name="Rettangolo 11">
          <a:extLst xmlns:a="http://schemas.openxmlformats.org/drawingml/2006/main">
            <a:ext uri="{FF2B5EF4-FFF2-40B4-BE49-F238E27FC236}">
              <a16:creationId xmlns:a16="http://schemas.microsoft.com/office/drawing/2014/main" id="{594718B2-2170-3F4F-B88F-9A7F72FE6A39}"/>
            </a:ext>
          </a:extLst>
        </cdr:cNvPr>
        <cdr:cNvSpPr/>
      </cdr:nvSpPr>
      <cdr:spPr>
        <a:xfrm xmlns:a="http://schemas.openxmlformats.org/drawingml/2006/main">
          <a:off x="4436081" y="5307154"/>
          <a:ext cx="1571971" cy="39357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it-IT" sz="1800">
              <a:solidFill>
                <a:schemeClr val="tx1"/>
              </a:solidFill>
              <a:latin typeface="Titillium" pitchFamily="2" charset="77"/>
              <a:cs typeface="Times New Roman"/>
            </a:rPr>
            <a:t>CI</a:t>
          </a:r>
          <a:r>
            <a:rPr lang="it-IT" sz="1800" baseline="-25000">
              <a:solidFill>
                <a:schemeClr val="tx1"/>
              </a:solidFill>
              <a:latin typeface="Titillium" pitchFamily="2" charset="77"/>
              <a:cs typeface="Times New Roman"/>
            </a:rPr>
            <a:t>A</a:t>
          </a:r>
          <a:r>
            <a:rPr lang="it-IT" sz="1800" baseline="0">
              <a:solidFill>
                <a:schemeClr val="tx1"/>
              </a:solidFill>
              <a:latin typeface="Titillium" pitchFamily="2" charset="77"/>
              <a:cs typeface="Times New Roman"/>
            </a:rPr>
            <a:t> </a:t>
          </a:r>
          <a:r>
            <a:rPr lang="it-IT" sz="1800" baseline="0">
              <a:solidFill>
                <a:schemeClr val="tx1"/>
              </a:solidFill>
              <a:latin typeface="Symbol" pitchFamily="2" charset="2"/>
              <a:cs typeface="Times New Roman"/>
            </a:rPr>
            <a:t>r</a:t>
          </a:r>
          <a:r>
            <a:rPr lang="it-IT" sz="1800" baseline="0">
              <a:solidFill>
                <a:schemeClr val="tx1"/>
              </a:solidFill>
              <a:latin typeface="Titillium" pitchFamily="2" charset="77"/>
              <a:cs typeface="Times New Roman"/>
            </a:rPr>
            <a:t> (kg/m</a:t>
          </a:r>
          <a:r>
            <a:rPr lang="it-IT" sz="1800" baseline="30000">
              <a:solidFill>
                <a:schemeClr val="tx1"/>
              </a:solidFill>
              <a:latin typeface="Titillium" pitchFamily="2" charset="77"/>
              <a:cs typeface="Times New Roman"/>
            </a:rPr>
            <a:t>3</a:t>
          </a:r>
          <a:r>
            <a:rPr lang="it-IT" sz="1800" baseline="0">
              <a:solidFill>
                <a:schemeClr val="tx1"/>
              </a:solidFill>
              <a:latin typeface="Titillium" pitchFamily="2" charset="77"/>
              <a:cs typeface="Times New Roman"/>
            </a:rPr>
            <a:t>)</a:t>
          </a:r>
          <a:endParaRPr lang="it-IT" sz="1800">
            <a:solidFill>
              <a:schemeClr val="tx1"/>
            </a:solidFill>
            <a:latin typeface="Titillium" pitchFamily="2" charset="77"/>
            <a:cs typeface="Times New Roman"/>
          </a:endParaRPr>
        </a:p>
      </cdr:txBody>
    </cdr:sp>
  </cdr:relSizeAnchor>
  <cdr:relSizeAnchor xmlns:cdr="http://schemas.openxmlformats.org/drawingml/2006/chartDrawing">
    <cdr:from>
      <cdr:x>0.04626</cdr:x>
      <cdr:y>0.2667</cdr:y>
    </cdr:from>
    <cdr:to>
      <cdr:x>0.08855</cdr:x>
      <cdr:y>0.52543</cdr:y>
    </cdr:to>
    <cdr:sp macro="" textlink="">
      <cdr:nvSpPr>
        <cdr:cNvPr id="13" name="Rettangolo 12">
          <a:extLst xmlns:a="http://schemas.openxmlformats.org/drawingml/2006/main">
            <a:ext uri="{FF2B5EF4-FFF2-40B4-BE49-F238E27FC236}">
              <a16:creationId xmlns:a16="http://schemas.microsoft.com/office/drawing/2014/main" id="{B5092101-72C8-F849-8E01-F9903F79A118}"/>
            </a:ext>
          </a:extLst>
        </cdr:cNvPr>
        <cdr:cNvSpPr/>
      </cdr:nvSpPr>
      <cdr:spPr>
        <a:xfrm xmlns:a="http://schemas.openxmlformats.org/drawingml/2006/main" rot="16200000">
          <a:off x="-158634" y="2209595"/>
          <a:ext cx="1571971" cy="39357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3">
          <a:schemeClr val="accent1"/>
        </a:fillRef>
        <a:effectRef xmlns:a="http://schemas.openxmlformats.org/drawingml/2006/main" idx="2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it-IT" sz="1800">
              <a:solidFill>
                <a:schemeClr val="tx1"/>
              </a:solidFill>
              <a:latin typeface="Symbol" pitchFamily="2" charset="2"/>
              <a:cs typeface="Times New Roman"/>
            </a:rPr>
            <a:t>s</a:t>
          </a:r>
          <a:r>
            <a:rPr lang="it-IT" sz="1800" baseline="-25000">
              <a:solidFill>
                <a:schemeClr val="tx1"/>
              </a:solidFill>
              <a:latin typeface="Titillium" pitchFamily="2" charset="77"/>
              <a:cs typeface="Times New Roman"/>
            </a:rPr>
            <a:t>y</a:t>
          </a:r>
          <a:r>
            <a:rPr lang="it-IT" sz="1800" baseline="0">
              <a:solidFill>
                <a:schemeClr val="tx1"/>
              </a:solidFill>
              <a:latin typeface="Titillium" pitchFamily="2" charset="77"/>
              <a:cs typeface="Times New Roman"/>
            </a:rPr>
            <a:t> </a:t>
          </a:r>
          <a:r>
            <a:rPr lang="it-IT" sz="1800" baseline="0">
              <a:solidFill>
                <a:schemeClr val="tx1"/>
              </a:solidFill>
              <a:latin typeface="Symbol" pitchFamily="2" charset="2"/>
              <a:cs typeface="Times New Roman"/>
            </a:rPr>
            <a:t>f</a:t>
          </a:r>
          <a:r>
            <a:rPr lang="it-IT" sz="1800" baseline="0">
              <a:solidFill>
                <a:schemeClr val="tx1"/>
              </a:solidFill>
              <a:latin typeface="Titillium" pitchFamily="2" charset="77"/>
              <a:cs typeface="Times New Roman"/>
            </a:rPr>
            <a:t> (MPa)</a:t>
          </a:r>
          <a:endParaRPr lang="it-IT" sz="1800">
            <a:solidFill>
              <a:schemeClr val="tx1"/>
            </a:solidFill>
            <a:latin typeface="Titillium" pitchFamily="2" charset="77"/>
            <a:cs typeface="Times New Roman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oloferro/UNI/Progetti%20di%20Ricerca/DERMAP%20project/DERMAP_Data_base/DATABASE/MagnesiumAlloy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oloferro/UNI/Progetti%20di%20Ricerca/DERMAP%20project/DERMAP_Data_base/DATABASE/Steel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oloferro/UNI/Progetti%20di%20Ricerca/DERMAP%20project/DERMAP_Data_base/DATABASE/TitaniumAlloy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3 (2)"/>
      <sheetName val="Foglio1"/>
      <sheetName val="Foglio2"/>
      <sheetName val="Foglio3"/>
    </sheetNames>
    <sheetDataSet>
      <sheetData sheetId="0"/>
      <sheetData sheetId="1"/>
      <sheetData sheetId="2"/>
      <sheetData sheetId="3">
        <row r="3">
          <cell r="G3">
            <v>6955.2772524999991</v>
          </cell>
          <cell r="H3">
            <v>605.625</v>
          </cell>
        </row>
        <row r="4">
          <cell r="G4">
            <v>7039.9938700000002</v>
          </cell>
          <cell r="H4">
            <v>575.875</v>
          </cell>
        </row>
        <row r="5">
          <cell r="G5">
            <v>6696.3823515999993</v>
          </cell>
          <cell r="H5">
            <v>614.125</v>
          </cell>
        </row>
        <row r="6">
          <cell r="G6">
            <v>6576.1929000000009</v>
          </cell>
          <cell r="H6">
            <v>433.5</v>
          </cell>
        </row>
        <row r="7">
          <cell r="G7">
            <v>7166.6329187499996</v>
          </cell>
          <cell r="H7">
            <v>446.25</v>
          </cell>
        </row>
        <row r="8">
          <cell r="G8">
            <v>6965.255837499999</v>
          </cell>
          <cell r="H8">
            <v>531.25</v>
          </cell>
        </row>
        <row r="9">
          <cell r="G9">
            <v>6872.0492474999983</v>
          </cell>
          <cell r="H9">
            <v>573.75</v>
          </cell>
        </row>
        <row r="10">
          <cell r="G10">
            <v>6792.4915699999983</v>
          </cell>
          <cell r="H10">
            <v>580.125</v>
          </cell>
        </row>
        <row r="11">
          <cell r="G11">
            <v>7146.3189974999987</v>
          </cell>
          <cell r="H11">
            <v>467.5</v>
          </cell>
        </row>
        <row r="12">
          <cell r="G12">
            <v>7163.4535014999983</v>
          </cell>
          <cell r="H12">
            <v>518.5</v>
          </cell>
        </row>
        <row r="13">
          <cell r="G13">
            <v>6997.7611799999995</v>
          </cell>
          <cell r="H13">
            <v>573.75</v>
          </cell>
        </row>
        <row r="14">
          <cell r="G14">
            <v>6948.0016350000014</v>
          </cell>
          <cell r="H14">
            <v>573.75</v>
          </cell>
        </row>
        <row r="15">
          <cell r="G15">
            <v>6788.4235974999992</v>
          </cell>
          <cell r="H15">
            <v>637.5</v>
          </cell>
        </row>
        <row r="16">
          <cell r="G16">
            <v>6791.7635774999999</v>
          </cell>
          <cell r="H16">
            <v>637.5</v>
          </cell>
        </row>
        <row r="17">
          <cell r="G17">
            <v>6649.7201775000003</v>
          </cell>
          <cell r="H17">
            <v>616.25</v>
          </cell>
        </row>
        <row r="18">
          <cell r="G18">
            <v>6648.3770649999997</v>
          </cell>
          <cell r="H18">
            <v>658.75</v>
          </cell>
        </row>
        <row r="19">
          <cell r="G19">
            <v>6582.3985499999999</v>
          </cell>
          <cell r="H19">
            <v>556.75</v>
          </cell>
        </row>
        <row r="20">
          <cell r="G20">
            <v>7035.4902799999991</v>
          </cell>
          <cell r="H20">
            <v>686.375</v>
          </cell>
        </row>
        <row r="21">
          <cell r="G21">
            <v>7201.5842249999987</v>
          </cell>
          <cell r="H21">
            <v>828.75</v>
          </cell>
        </row>
        <row r="22">
          <cell r="G22">
            <v>7157.6941799999995</v>
          </cell>
          <cell r="H22">
            <v>340</v>
          </cell>
        </row>
        <row r="23">
          <cell r="G23">
            <v>6376.0840000000007</v>
          </cell>
          <cell r="H23">
            <v>297.5</v>
          </cell>
        </row>
        <row r="24">
          <cell r="G24">
            <v>7107.5604899999989</v>
          </cell>
          <cell r="H24">
            <v>703.375</v>
          </cell>
        </row>
        <row r="25">
          <cell r="G25">
            <v>7299.8877937499992</v>
          </cell>
          <cell r="H25">
            <v>807.5</v>
          </cell>
        </row>
        <row r="26">
          <cell r="G26">
            <v>7322.2275149999996</v>
          </cell>
          <cell r="H26">
            <v>773.5</v>
          </cell>
        </row>
        <row r="27">
          <cell r="G27">
            <v>7263.8975762500004</v>
          </cell>
          <cell r="H27">
            <v>871.25</v>
          </cell>
        </row>
        <row r="28">
          <cell r="G28">
            <v>6943.29</v>
          </cell>
          <cell r="H28">
            <v>671.5</v>
          </cell>
        </row>
        <row r="29">
          <cell r="G29">
            <v>7007.4554549999993</v>
          </cell>
          <cell r="H29">
            <v>541.875</v>
          </cell>
        </row>
        <row r="30">
          <cell r="G30">
            <v>7095.5773200000003</v>
          </cell>
          <cell r="H30">
            <v>350.625</v>
          </cell>
        </row>
        <row r="31">
          <cell r="G31">
            <v>6907.4542124999998</v>
          </cell>
          <cell r="H31">
            <v>658.75</v>
          </cell>
        </row>
        <row r="32">
          <cell r="G32">
            <v>6788.4235974999992</v>
          </cell>
          <cell r="H32">
            <v>818.125</v>
          </cell>
        </row>
        <row r="33">
          <cell r="G33">
            <v>6677.9034474999989</v>
          </cell>
          <cell r="H33">
            <v>860.625</v>
          </cell>
        </row>
        <row r="34">
          <cell r="G34">
            <v>6756.5059899999987</v>
          </cell>
          <cell r="H34">
            <v>1712.75</v>
          </cell>
        </row>
        <row r="35">
          <cell r="G35">
            <v>7299.8877937499992</v>
          </cell>
          <cell r="H35">
            <v>828.75</v>
          </cell>
        </row>
        <row r="36">
          <cell r="G36">
            <v>7385.2145762500004</v>
          </cell>
          <cell r="H36">
            <v>881.875</v>
          </cell>
        </row>
        <row r="37">
          <cell r="G37">
            <v>7041.0418</v>
          </cell>
          <cell r="H37">
            <v>622.625</v>
          </cell>
        </row>
        <row r="38">
          <cell r="G38">
            <v>7010.8349999999991</v>
          </cell>
          <cell r="H38">
            <v>1338.75</v>
          </cell>
        </row>
        <row r="39">
          <cell r="G39">
            <v>7048.5322699999988</v>
          </cell>
          <cell r="H39">
            <v>1051.875</v>
          </cell>
        </row>
        <row r="40">
          <cell r="G40">
            <v>7048.5322699999988</v>
          </cell>
          <cell r="H40">
            <v>1241</v>
          </cell>
        </row>
        <row r="41">
          <cell r="G41">
            <v>7055.6649974999991</v>
          </cell>
          <cell r="H41">
            <v>605.625</v>
          </cell>
        </row>
        <row r="42">
          <cell r="G42">
            <v>7057.6177500000003</v>
          </cell>
          <cell r="H42">
            <v>1009.375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Foglio3 (2)"/>
      <sheetName val="Foglio2"/>
      <sheetName val="Foglio3"/>
    </sheetNames>
    <sheetDataSet>
      <sheetData sheetId="0"/>
      <sheetData sheetId="1"/>
      <sheetData sheetId="2"/>
      <sheetData sheetId="3">
        <row r="3">
          <cell r="F3">
            <v>4299.9725202</v>
          </cell>
          <cell r="G3">
            <v>12787.5</v>
          </cell>
        </row>
        <row r="4">
          <cell r="F4">
            <v>165.89508624999999</v>
          </cell>
          <cell r="G4">
            <v>2621.25</v>
          </cell>
        </row>
        <row r="5">
          <cell r="F5">
            <v>4136.4964494000005</v>
          </cell>
          <cell r="G5">
            <v>11700</v>
          </cell>
        </row>
        <row r="6">
          <cell r="F6">
            <v>3131.0905660000008</v>
          </cell>
          <cell r="G6">
            <v>4653.75</v>
          </cell>
        </row>
        <row r="7">
          <cell r="F7">
            <v>11151.409191999999</v>
          </cell>
          <cell r="G7">
            <v>2681.25</v>
          </cell>
        </row>
        <row r="8">
          <cell r="F8">
            <v>2896.2180719999997</v>
          </cell>
          <cell r="G8">
            <v>12937.5</v>
          </cell>
        </row>
        <row r="9">
          <cell r="F9">
            <v>3193.1883719999996</v>
          </cell>
          <cell r="G9">
            <v>14287.5</v>
          </cell>
        </row>
        <row r="10">
          <cell r="F10">
            <v>4666.7580739999994</v>
          </cell>
          <cell r="G10">
            <v>2831.25</v>
          </cell>
        </row>
        <row r="11">
          <cell r="F11">
            <v>272.69871650000005</v>
          </cell>
          <cell r="G11">
            <v>3753.75</v>
          </cell>
        </row>
        <row r="12">
          <cell r="F12">
            <v>363.46264250000007</v>
          </cell>
          <cell r="G12">
            <v>3750</v>
          </cell>
        </row>
        <row r="13">
          <cell r="F13">
            <v>363.46264250000007</v>
          </cell>
          <cell r="G13">
            <v>5355</v>
          </cell>
        </row>
        <row r="14">
          <cell r="F14">
            <v>457.59524062499992</v>
          </cell>
          <cell r="G14">
            <v>9075</v>
          </cell>
        </row>
        <row r="15">
          <cell r="F15">
            <v>315.10981562500001</v>
          </cell>
          <cell r="G15">
            <v>4185</v>
          </cell>
        </row>
        <row r="16">
          <cell r="F16">
            <v>315.10981562500001</v>
          </cell>
          <cell r="G16">
            <v>6528.75</v>
          </cell>
        </row>
        <row r="17">
          <cell r="F17">
            <v>282.94854000000004</v>
          </cell>
          <cell r="G17">
            <v>3187.5</v>
          </cell>
        </row>
        <row r="18">
          <cell r="F18">
            <v>282.94854000000004</v>
          </cell>
          <cell r="G18">
            <v>4500</v>
          </cell>
        </row>
        <row r="19">
          <cell r="F19">
            <v>199.80585375000001</v>
          </cell>
          <cell r="G19">
            <v>5700</v>
          </cell>
        </row>
        <row r="20">
          <cell r="F20">
            <v>199.80585375000001</v>
          </cell>
          <cell r="G20">
            <v>5737.5</v>
          </cell>
        </row>
        <row r="21">
          <cell r="F21">
            <v>199.80585375000001</v>
          </cell>
          <cell r="G21">
            <v>5475</v>
          </cell>
        </row>
        <row r="22">
          <cell r="F22">
            <v>199.80585375000001</v>
          </cell>
          <cell r="G22">
            <v>4912.5</v>
          </cell>
        </row>
        <row r="23">
          <cell r="F23">
            <v>199.80585375000001</v>
          </cell>
          <cell r="G23">
            <v>3150</v>
          </cell>
        </row>
        <row r="24">
          <cell r="F24">
            <v>213.07235374999999</v>
          </cell>
          <cell r="G24">
            <v>12450</v>
          </cell>
        </row>
        <row r="25">
          <cell r="F25">
            <v>213.07235374999999</v>
          </cell>
          <cell r="G25">
            <v>10912.5</v>
          </cell>
        </row>
        <row r="26">
          <cell r="F26">
            <v>213.07235374999999</v>
          </cell>
          <cell r="G26">
            <v>8812.5</v>
          </cell>
        </row>
        <row r="27">
          <cell r="F27">
            <v>213.07235374999999</v>
          </cell>
          <cell r="G27">
            <v>6637.5</v>
          </cell>
        </row>
        <row r="28">
          <cell r="F28">
            <v>213.07235374999999</v>
          </cell>
          <cell r="G28">
            <v>5175</v>
          </cell>
        </row>
        <row r="29">
          <cell r="F29">
            <v>346.38497875000002</v>
          </cell>
          <cell r="G29">
            <v>2700</v>
          </cell>
        </row>
        <row r="30">
          <cell r="F30">
            <v>346.38497875000002</v>
          </cell>
          <cell r="G30">
            <v>3813.75</v>
          </cell>
        </row>
        <row r="31">
          <cell r="F31">
            <v>346.38497875000002</v>
          </cell>
          <cell r="G31">
            <v>6862.5</v>
          </cell>
        </row>
        <row r="32">
          <cell r="F32">
            <v>346.38497875000002</v>
          </cell>
          <cell r="G32">
            <v>10987.5</v>
          </cell>
        </row>
        <row r="33">
          <cell r="F33">
            <v>346.38497875000002</v>
          </cell>
          <cell r="G33">
            <v>10350</v>
          </cell>
        </row>
        <row r="34">
          <cell r="F34">
            <v>346.38497875000002</v>
          </cell>
          <cell r="G34">
            <v>8962.5</v>
          </cell>
        </row>
        <row r="35">
          <cell r="F35">
            <v>346.38497875000002</v>
          </cell>
          <cell r="G35">
            <v>6937.5</v>
          </cell>
        </row>
        <row r="36">
          <cell r="F36">
            <v>346.38497875000002</v>
          </cell>
          <cell r="G36">
            <v>5268.75</v>
          </cell>
        </row>
        <row r="37">
          <cell r="F37">
            <v>358.73516925000001</v>
          </cell>
          <cell r="G37">
            <v>4008.75</v>
          </cell>
        </row>
        <row r="38">
          <cell r="F38">
            <v>358.73516925000001</v>
          </cell>
          <cell r="G38">
            <v>7125</v>
          </cell>
        </row>
        <row r="39">
          <cell r="F39">
            <v>372.91797874999997</v>
          </cell>
          <cell r="G39">
            <v>3112.5</v>
          </cell>
        </row>
        <row r="40">
          <cell r="F40">
            <v>372.91797874999997</v>
          </cell>
          <cell r="G40">
            <v>4912.5</v>
          </cell>
        </row>
        <row r="41">
          <cell r="F41">
            <v>372.91797874999997</v>
          </cell>
          <cell r="G41">
            <v>12337.5</v>
          </cell>
        </row>
        <row r="42">
          <cell r="F42">
            <v>372.91797874999997</v>
          </cell>
          <cell r="G42">
            <v>10762.5</v>
          </cell>
        </row>
        <row r="43">
          <cell r="F43">
            <v>372.91797874999997</v>
          </cell>
          <cell r="G43">
            <v>8550</v>
          </cell>
        </row>
        <row r="44">
          <cell r="F44">
            <v>372.91797874999997</v>
          </cell>
          <cell r="G44">
            <v>6262.5</v>
          </cell>
        </row>
        <row r="45">
          <cell r="F45">
            <v>372.91797874999997</v>
          </cell>
          <cell r="G45">
            <v>4912.5</v>
          </cell>
        </row>
        <row r="46">
          <cell r="F46">
            <v>399.45097874999999</v>
          </cell>
          <cell r="G46">
            <v>2850</v>
          </cell>
        </row>
        <row r="47">
          <cell r="F47">
            <v>399.45097874999999</v>
          </cell>
          <cell r="G47">
            <v>5512.5</v>
          </cell>
        </row>
        <row r="48">
          <cell r="F48">
            <v>399.45097874999999</v>
          </cell>
          <cell r="G48">
            <v>13125</v>
          </cell>
        </row>
        <row r="49">
          <cell r="F49">
            <v>399.45097874999999</v>
          </cell>
          <cell r="G49">
            <v>11925</v>
          </cell>
        </row>
        <row r="50">
          <cell r="F50">
            <v>399.45097874999999</v>
          </cell>
          <cell r="G50">
            <v>10350</v>
          </cell>
        </row>
        <row r="51">
          <cell r="F51">
            <v>399.45097874999999</v>
          </cell>
          <cell r="G51">
            <v>8306.25</v>
          </cell>
        </row>
        <row r="52">
          <cell r="F52">
            <v>399.45097874999999</v>
          </cell>
          <cell r="G52">
            <v>6300</v>
          </cell>
        </row>
        <row r="53">
          <cell r="F53">
            <v>697.16636549999998</v>
          </cell>
          <cell r="G53">
            <v>12525</v>
          </cell>
        </row>
        <row r="54">
          <cell r="F54">
            <v>691.87328549999995</v>
          </cell>
          <cell r="G54">
            <v>12000</v>
          </cell>
        </row>
        <row r="55">
          <cell r="F55">
            <v>243.61670375</v>
          </cell>
          <cell r="G55">
            <v>3187.5</v>
          </cell>
        </row>
        <row r="56">
          <cell r="F56">
            <v>243.61670375</v>
          </cell>
          <cell r="G56">
            <v>3487.5</v>
          </cell>
        </row>
        <row r="57">
          <cell r="F57">
            <v>382.07659500000005</v>
          </cell>
          <cell r="G57">
            <v>10087.5</v>
          </cell>
        </row>
        <row r="58">
          <cell r="F58">
            <v>416.05292250000002</v>
          </cell>
          <cell r="G58">
            <v>10350</v>
          </cell>
        </row>
        <row r="59">
          <cell r="F59">
            <v>348.87146625000003</v>
          </cell>
          <cell r="G59">
            <v>3543.75</v>
          </cell>
        </row>
        <row r="60">
          <cell r="F60">
            <v>348.87146625000003</v>
          </cell>
          <cell r="G60">
            <v>6450</v>
          </cell>
        </row>
        <row r="61">
          <cell r="F61">
            <v>348.87146625000003</v>
          </cell>
          <cell r="G61">
            <v>12600</v>
          </cell>
        </row>
        <row r="62">
          <cell r="F62">
            <v>348.87146625000003</v>
          </cell>
          <cell r="G62">
            <v>11925</v>
          </cell>
        </row>
        <row r="63">
          <cell r="F63">
            <v>348.87146625000003</v>
          </cell>
          <cell r="G63">
            <v>10237.5</v>
          </cell>
        </row>
        <row r="64">
          <cell r="F64">
            <v>348.87146625000003</v>
          </cell>
          <cell r="G64">
            <v>8081.25</v>
          </cell>
        </row>
        <row r="65">
          <cell r="F65">
            <v>348.87146625000003</v>
          </cell>
          <cell r="G65">
            <v>6412.5</v>
          </cell>
        </row>
        <row r="66">
          <cell r="F66">
            <v>348.87146625000003</v>
          </cell>
          <cell r="G66">
            <v>11812.5</v>
          </cell>
        </row>
        <row r="67">
          <cell r="F67">
            <v>562.3181055</v>
          </cell>
          <cell r="G67">
            <v>10350</v>
          </cell>
        </row>
        <row r="68">
          <cell r="F68">
            <v>152.04645375000004</v>
          </cell>
          <cell r="G68">
            <v>2793.75</v>
          </cell>
        </row>
        <row r="69">
          <cell r="F69">
            <v>152.04645375000004</v>
          </cell>
          <cell r="G69">
            <v>2756.25</v>
          </cell>
        </row>
        <row r="70">
          <cell r="F70">
            <v>154.69975375000001</v>
          </cell>
          <cell r="G70">
            <v>3468.75</v>
          </cell>
        </row>
        <row r="71">
          <cell r="F71">
            <v>154.69975375000001</v>
          </cell>
          <cell r="G71">
            <v>3637.5</v>
          </cell>
        </row>
        <row r="72">
          <cell r="F72">
            <v>229.89294124999998</v>
          </cell>
          <cell r="G72">
            <v>10575</v>
          </cell>
        </row>
        <row r="73">
          <cell r="F73">
            <v>229.89294124999998</v>
          </cell>
          <cell r="G73">
            <v>8700</v>
          </cell>
        </row>
        <row r="74">
          <cell r="F74">
            <v>229.89294124999998</v>
          </cell>
          <cell r="G74">
            <v>6975</v>
          </cell>
        </row>
        <row r="75">
          <cell r="F75">
            <v>229.89294124999998</v>
          </cell>
          <cell r="G75">
            <v>5737.5</v>
          </cell>
        </row>
        <row r="76">
          <cell r="F76">
            <v>229.89294124999998</v>
          </cell>
          <cell r="G76">
            <v>4912.5</v>
          </cell>
        </row>
        <row r="77">
          <cell r="F77">
            <v>229.89294124999998</v>
          </cell>
          <cell r="G77">
            <v>12150</v>
          </cell>
        </row>
        <row r="78">
          <cell r="F78">
            <v>229.89294124999998</v>
          </cell>
          <cell r="G78">
            <v>9375</v>
          </cell>
        </row>
        <row r="79">
          <cell r="F79">
            <v>229.89294124999998</v>
          </cell>
          <cell r="G79">
            <v>7350</v>
          </cell>
        </row>
        <row r="80">
          <cell r="F80">
            <v>229.89294124999998</v>
          </cell>
          <cell r="G80">
            <v>5943.75</v>
          </cell>
        </row>
        <row r="81">
          <cell r="F81">
            <v>307.42150375</v>
          </cell>
          <cell r="G81">
            <v>13312.5</v>
          </cell>
        </row>
        <row r="82">
          <cell r="F82">
            <v>307.42150375</v>
          </cell>
          <cell r="G82">
            <v>10387.5</v>
          </cell>
        </row>
        <row r="83">
          <cell r="F83">
            <v>307.42150375</v>
          </cell>
          <cell r="G83">
            <v>7500</v>
          </cell>
        </row>
        <row r="84">
          <cell r="F84">
            <v>307.42150375</v>
          </cell>
          <cell r="G84">
            <v>5850</v>
          </cell>
        </row>
        <row r="85">
          <cell r="F85">
            <v>311.05997875000003</v>
          </cell>
          <cell r="G85">
            <v>11400</v>
          </cell>
        </row>
        <row r="86">
          <cell r="F86">
            <v>311.05997875000003</v>
          </cell>
          <cell r="G86">
            <v>10575</v>
          </cell>
        </row>
        <row r="87">
          <cell r="F87">
            <v>311.05997875000003</v>
          </cell>
          <cell r="G87">
            <v>9075</v>
          </cell>
        </row>
        <row r="88">
          <cell r="F88">
            <v>311.05997875000003</v>
          </cell>
          <cell r="G88">
            <v>7050</v>
          </cell>
        </row>
        <row r="89">
          <cell r="F89">
            <v>311.05997875000003</v>
          </cell>
          <cell r="G89">
            <v>5175</v>
          </cell>
        </row>
        <row r="90">
          <cell r="F90">
            <v>310.12190375000006</v>
          </cell>
          <cell r="G90">
            <v>2193.75</v>
          </cell>
        </row>
        <row r="91">
          <cell r="F91">
            <v>310.12190375000006</v>
          </cell>
          <cell r="G91">
            <v>3543.75</v>
          </cell>
        </row>
        <row r="92">
          <cell r="F92">
            <v>310.12190375000006</v>
          </cell>
          <cell r="G92">
            <v>12337.5</v>
          </cell>
        </row>
        <row r="93">
          <cell r="F93">
            <v>310.12190375000006</v>
          </cell>
          <cell r="G93">
            <v>10875</v>
          </cell>
        </row>
        <row r="94">
          <cell r="F94">
            <v>310.12190375000006</v>
          </cell>
          <cell r="G94">
            <v>8812.5</v>
          </cell>
        </row>
        <row r="95">
          <cell r="F95">
            <v>310.12190375000006</v>
          </cell>
          <cell r="G95">
            <v>6468.75</v>
          </cell>
        </row>
        <row r="96">
          <cell r="F96">
            <v>310.12190375000006</v>
          </cell>
          <cell r="G96">
            <v>4968.75</v>
          </cell>
        </row>
        <row r="97">
          <cell r="F97">
            <v>336.65490375000002</v>
          </cell>
          <cell r="G97">
            <v>2681.25</v>
          </cell>
        </row>
        <row r="98">
          <cell r="F98">
            <v>336.65490375000002</v>
          </cell>
          <cell r="G98">
            <v>3975</v>
          </cell>
        </row>
        <row r="99">
          <cell r="F99">
            <v>336.65490375000002</v>
          </cell>
          <cell r="G99">
            <v>12975</v>
          </cell>
        </row>
        <row r="100">
          <cell r="F100">
            <v>336.65490375000002</v>
          </cell>
          <cell r="G100">
            <v>12075</v>
          </cell>
        </row>
        <row r="101">
          <cell r="F101">
            <v>336.65490375000002</v>
          </cell>
          <cell r="G101">
            <v>10200</v>
          </cell>
        </row>
        <row r="102">
          <cell r="F102">
            <v>336.65490375000002</v>
          </cell>
          <cell r="G102">
            <v>7743.75</v>
          </cell>
        </row>
        <row r="103">
          <cell r="F103">
            <v>336.65490375000002</v>
          </cell>
          <cell r="G103">
            <v>6056.25</v>
          </cell>
        </row>
        <row r="104">
          <cell r="F104">
            <v>361.86125375000006</v>
          </cell>
          <cell r="G104">
            <v>2062.5</v>
          </cell>
        </row>
        <row r="105">
          <cell r="F105">
            <v>361.86125375000006</v>
          </cell>
          <cell r="G105">
            <v>3993.75</v>
          </cell>
        </row>
        <row r="106">
          <cell r="F106">
            <v>361.86125375000006</v>
          </cell>
          <cell r="G106">
            <v>13462.5</v>
          </cell>
        </row>
        <row r="107">
          <cell r="F107">
            <v>361.86125375000006</v>
          </cell>
          <cell r="G107">
            <v>13312.5</v>
          </cell>
        </row>
        <row r="108">
          <cell r="F108">
            <v>361.86125375000006</v>
          </cell>
          <cell r="G108">
            <v>10987.5</v>
          </cell>
        </row>
        <row r="109">
          <cell r="F109">
            <v>361.86125375000006</v>
          </cell>
          <cell r="G109">
            <v>7818.75</v>
          </cell>
        </row>
        <row r="110">
          <cell r="F110">
            <v>361.86125375000006</v>
          </cell>
          <cell r="G110">
            <v>6000</v>
          </cell>
        </row>
        <row r="111">
          <cell r="F111">
            <v>389.61885375000003</v>
          </cell>
          <cell r="G111">
            <v>3093.75</v>
          </cell>
        </row>
        <row r="112">
          <cell r="F112">
            <v>389.61885375000003</v>
          </cell>
          <cell r="G112">
            <v>4612.5</v>
          </cell>
        </row>
        <row r="113">
          <cell r="F113">
            <v>389.61885375000003</v>
          </cell>
          <cell r="G113">
            <v>12000</v>
          </cell>
        </row>
        <row r="114">
          <cell r="F114">
            <v>389.61885375000003</v>
          </cell>
          <cell r="G114">
            <v>11812.5</v>
          </cell>
        </row>
        <row r="115">
          <cell r="F115">
            <v>389.61885375000003</v>
          </cell>
          <cell r="G115">
            <v>10012.5</v>
          </cell>
        </row>
        <row r="116">
          <cell r="F116">
            <v>389.61885375000003</v>
          </cell>
          <cell r="G116">
            <v>8025</v>
          </cell>
        </row>
        <row r="117">
          <cell r="F117">
            <v>389.61885375000003</v>
          </cell>
          <cell r="G117">
            <v>6300</v>
          </cell>
        </row>
        <row r="118">
          <cell r="F118">
            <v>280.04070374999998</v>
          </cell>
          <cell r="G118">
            <v>12937.5</v>
          </cell>
        </row>
        <row r="119">
          <cell r="F119">
            <v>280.04070374999998</v>
          </cell>
          <cell r="G119">
            <v>11775</v>
          </cell>
        </row>
        <row r="120">
          <cell r="F120">
            <v>280.04070374999998</v>
          </cell>
          <cell r="G120">
            <v>9825</v>
          </cell>
        </row>
        <row r="121">
          <cell r="F121">
            <v>280.04070374999998</v>
          </cell>
          <cell r="G121">
            <v>7725</v>
          </cell>
        </row>
        <row r="122">
          <cell r="F122">
            <v>280.04070374999998</v>
          </cell>
          <cell r="G122">
            <v>5943.75</v>
          </cell>
        </row>
        <row r="123">
          <cell r="F123">
            <v>263.97175375</v>
          </cell>
          <cell r="G123">
            <v>2793.75</v>
          </cell>
        </row>
        <row r="124">
          <cell r="F124">
            <v>263.97175375</v>
          </cell>
          <cell r="G124">
            <v>3813.75</v>
          </cell>
        </row>
        <row r="125">
          <cell r="F125">
            <v>263.97175375</v>
          </cell>
          <cell r="G125">
            <v>11287.5</v>
          </cell>
        </row>
        <row r="126">
          <cell r="F126">
            <v>263.97175375</v>
          </cell>
          <cell r="G126">
            <v>10462.5</v>
          </cell>
        </row>
        <row r="127">
          <cell r="F127">
            <v>263.97175375</v>
          </cell>
          <cell r="G127">
            <v>8812.5</v>
          </cell>
        </row>
        <row r="128">
          <cell r="F128">
            <v>263.97175375</v>
          </cell>
          <cell r="G128">
            <v>6731.25</v>
          </cell>
        </row>
        <row r="129">
          <cell r="F129">
            <v>263.97175375</v>
          </cell>
          <cell r="G129">
            <v>5175</v>
          </cell>
        </row>
        <row r="130">
          <cell r="F130">
            <v>263.97175375</v>
          </cell>
          <cell r="G130">
            <v>5448.75</v>
          </cell>
        </row>
        <row r="131">
          <cell r="F131">
            <v>290.50475375000002</v>
          </cell>
          <cell r="G131">
            <v>12525</v>
          </cell>
        </row>
        <row r="132">
          <cell r="F132">
            <v>290.50475375000002</v>
          </cell>
          <cell r="G132">
            <v>11362.5</v>
          </cell>
        </row>
        <row r="133">
          <cell r="F133">
            <v>290.50475375000002</v>
          </cell>
          <cell r="G133">
            <v>9750</v>
          </cell>
        </row>
        <row r="134">
          <cell r="F134">
            <v>290.50475375000002</v>
          </cell>
          <cell r="G134">
            <v>7743.75</v>
          </cell>
        </row>
        <row r="135">
          <cell r="F135">
            <v>290.50475375000002</v>
          </cell>
          <cell r="G135">
            <v>6000</v>
          </cell>
        </row>
        <row r="136">
          <cell r="F136">
            <v>317.03775374999998</v>
          </cell>
          <cell r="G136">
            <v>2793.75</v>
          </cell>
        </row>
        <row r="137">
          <cell r="F137">
            <v>317.03775374999998</v>
          </cell>
          <cell r="G137">
            <v>5156.25</v>
          </cell>
        </row>
        <row r="138">
          <cell r="F138">
            <v>317.03775374999998</v>
          </cell>
          <cell r="G138">
            <v>12562.5</v>
          </cell>
        </row>
        <row r="139">
          <cell r="F139">
            <v>317.03775374999998</v>
          </cell>
          <cell r="G139">
            <v>11662.5</v>
          </cell>
        </row>
        <row r="140">
          <cell r="F140">
            <v>317.03775374999998</v>
          </cell>
          <cell r="G140">
            <v>9937.5</v>
          </cell>
        </row>
        <row r="141">
          <cell r="F141">
            <v>317.03775374999998</v>
          </cell>
          <cell r="G141">
            <v>7893.75</v>
          </cell>
        </row>
        <row r="142">
          <cell r="F142">
            <v>317.03775374999998</v>
          </cell>
          <cell r="G142">
            <v>6206.25</v>
          </cell>
        </row>
        <row r="143">
          <cell r="F143">
            <v>342.24410375000002</v>
          </cell>
          <cell r="G143">
            <v>11662.5</v>
          </cell>
        </row>
        <row r="144">
          <cell r="F144">
            <v>342.24410375000002</v>
          </cell>
          <cell r="G144">
            <v>9112.5</v>
          </cell>
        </row>
        <row r="145">
          <cell r="F145">
            <v>342.24410375000002</v>
          </cell>
          <cell r="G145">
            <v>7143.75</v>
          </cell>
        </row>
        <row r="146">
          <cell r="F146">
            <v>304.19829375000006</v>
          </cell>
          <cell r="G146">
            <v>12375</v>
          </cell>
        </row>
        <row r="147">
          <cell r="F147">
            <v>304.19829375000006</v>
          </cell>
          <cell r="G147">
            <v>11662.5</v>
          </cell>
        </row>
        <row r="148">
          <cell r="F148">
            <v>304.19829375000006</v>
          </cell>
          <cell r="G148">
            <v>9900</v>
          </cell>
        </row>
        <row r="149">
          <cell r="F149">
            <v>304.19829375000006</v>
          </cell>
          <cell r="G149">
            <v>7743.75</v>
          </cell>
        </row>
        <row r="150">
          <cell r="F150">
            <v>304.19829375000006</v>
          </cell>
          <cell r="G150">
            <v>6581.25</v>
          </cell>
        </row>
        <row r="151">
          <cell r="F151">
            <v>299.33600374999997</v>
          </cell>
          <cell r="G151">
            <v>3112.5</v>
          </cell>
        </row>
        <row r="152">
          <cell r="F152">
            <v>299.33600374999997</v>
          </cell>
          <cell r="G152">
            <v>4556.25</v>
          </cell>
        </row>
        <row r="153">
          <cell r="F153">
            <v>299.33600374999997</v>
          </cell>
          <cell r="G153">
            <v>12412.5</v>
          </cell>
        </row>
        <row r="154">
          <cell r="F154">
            <v>299.33600374999997</v>
          </cell>
          <cell r="G154">
            <v>11662.5</v>
          </cell>
        </row>
        <row r="155">
          <cell r="F155">
            <v>299.33600374999997</v>
          </cell>
          <cell r="G155">
            <v>10275</v>
          </cell>
        </row>
        <row r="156">
          <cell r="F156">
            <v>299.33600374999997</v>
          </cell>
          <cell r="G156">
            <v>8550</v>
          </cell>
        </row>
        <row r="157">
          <cell r="F157">
            <v>299.33600374999997</v>
          </cell>
          <cell r="G157">
            <v>6768.75</v>
          </cell>
        </row>
        <row r="158">
          <cell r="F158">
            <v>580.55047874999991</v>
          </cell>
          <cell r="G158">
            <v>3656.25</v>
          </cell>
        </row>
        <row r="159">
          <cell r="F159">
            <v>580.55047874999991</v>
          </cell>
          <cell r="G159">
            <v>4350</v>
          </cell>
        </row>
        <row r="160">
          <cell r="F160">
            <v>580.55047874999991</v>
          </cell>
          <cell r="G160">
            <v>15375</v>
          </cell>
        </row>
        <row r="161">
          <cell r="F161">
            <v>580.55047874999991</v>
          </cell>
          <cell r="G161">
            <v>13462.5</v>
          </cell>
        </row>
        <row r="162">
          <cell r="F162">
            <v>580.55047874999991</v>
          </cell>
          <cell r="G162">
            <v>11175</v>
          </cell>
        </row>
        <row r="163">
          <cell r="F163">
            <v>580.55047874999991</v>
          </cell>
          <cell r="G163">
            <v>8287.5</v>
          </cell>
        </row>
        <row r="164">
          <cell r="F164">
            <v>580.55047874999991</v>
          </cell>
          <cell r="G164">
            <v>6093.75</v>
          </cell>
        </row>
        <row r="165">
          <cell r="F165">
            <v>593.81697874999998</v>
          </cell>
          <cell r="G165">
            <v>11287.5</v>
          </cell>
        </row>
        <row r="166">
          <cell r="F166">
            <v>593.81697874999998</v>
          </cell>
          <cell r="G166">
            <v>8512.5</v>
          </cell>
        </row>
        <row r="167">
          <cell r="F167">
            <v>593.81697874999998</v>
          </cell>
          <cell r="G167">
            <v>6093.75</v>
          </cell>
        </row>
        <row r="168">
          <cell r="F168">
            <v>323.49555624999999</v>
          </cell>
          <cell r="G168">
            <v>3300</v>
          </cell>
        </row>
        <row r="169">
          <cell r="F169">
            <v>323.49555624999999</v>
          </cell>
          <cell r="G169">
            <v>4275</v>
          </cell>
        </row>
        <row r="170">
          <cell r="F170">
            <v>231.07161875000003</v>
          </cell>
          <cell r="G170">
            <v>11662.5</v>
          </cell>
        </row>
        <row r="171">
          <cell r="F171">
            <v>231.07161875000003</v>
          </cell>
          <cell r="G171">
            <v>10687.5</v>
          </cell>
        </row>
        <row r="172">
          <cell r="F172">
            <v>231.07161875000003</v>
          </cell>
          <cell r="G172">
            <v>9075</v>
          </cell>
        </row>
        <row r="173">
          <cell r="F173">
            <v>231.07161875000003</v>
          </cell>
          <cell r="G173">
            <v>6993.75</v>
          </cell>
        </row>
        <row r="174">
          <cell r="F174">
            <v>231.07161875000003</v>
          </cell>
          <cell r="G174">
            <v>5418.75</v>
          </cell>
        </row>
        <row r="175">
          <cell r="F175">
            <v>517.81845375</v>
          </cell>
          <cell r="G175">
            <v>10087.5</v>
          </cell>
        </row>
        <row r="176">
          <cell r="F176">
            <v>407.89463499999999</v>
          </cell>
          <cell r="G176">
            <v>7687.5</v>
          </cell>
        </row>
        <row r="177">
          <cell r="F177">
            <v>1519.6111895000001</v>
          </cell>
          <cell r="G177">
            <v>11400</v>
          </cell>
        </row>
        <row r="178">
          <cell r="F178">
            <v>1542.6810854999999</v>
          </cell>
          <cell r="G178">
            <v>9412.5</v>
          </cell>
        </row>
        <row r="179">
          <cell r="F179">
            <v>1587.6405874999998</v>
          </cell>
          <cell r="G179">
            <v>10087.5</v>
          </cell>
        </row>
        <row r="180">
          <cell r="F180">
            <v>484.44076999999999</v>
          </cell>
          <cell r="G180">
            <v>3412.5</v>
          </cell>
        </row>
        <row r="181">
          <cell r="F181">
            <v>166.191849375</v>
          </cell>
          <cell r="G181">
            <v>1758.75</v>
          </cell>
        </row>
        <row r="182">
          <cell r="F182">
            <v>166.191849375</v>
          </cell>
          <cell r="G182">
            <v>2328.75</v>
          </cell>
        </row>
        <row r="183">
          <cell r="F183">
            <v>166.191849375</v>
          </cell>
          <cell r="G183">
            <v>2070</v>
          </cell>
        </row>
        <row r="184">
          <cell r="F184">
            <v>166.191849375</v>
          </cell>
          <cell r="G184">
            <v>2621.25</v>
          </cell>
        </row>
        <row r="185">
          <cell r="F185">
            <v>43.507840000000002</v>
          </cell>
          <cell r="G185">
            <v>2137.5</v>
          </cell>
        </row>
        <row r="186">
          <cell r="F186">
            <v>43.507840000000002</v>
          </cell>
          <cell r="G186">
            <v>2343.75</v>
          </cell>
        </row>
        <row r="187">
          <cell r="F187">
            <v>43.507840000000002</v>
          </cell>
          <cell r="G187">
            <v>2456.25</v>
          </cell>
        </row>
        <row r="188">
          <cell r="F188">
            <v>55.447690000000001</v>
          </cell>
          <cell r="G188">
            <v>2212.5</v>
          </cell>
        </row>
        <row r="189">
          <cell r="F189">
            <v>55.447690000000001</v>
          </cell>
          <cell r="G189">
            <v>2475</v>
          </cell>
        </row>
        <row r="190">
          <cell r="F190">
            <v>55.447690000000001</v>
          </cell>
          <cell r="G190">
            <v>2475</v>
          </cell>
        </row>
        <row r="191">
          <cell r="F191">
            <v>56.774340000000009</v>
          </cell>
          <cell r="G191">
            <v>2381.25</v>
          </cell>
        </row>
        <row r="192">
          <cell r="F192">
            <v>56.774340000000009</v>
          </cell>
          <cell r="G192">
            <v>2681.25</v>
          </cell>
        </row>
        <row r="193">
          <cell r="F193">
            <v>56.774340000000009</v>
          </cell>
          <cell r="G193">
            <v>2681.25</v>
          </cell>
        </row>
        <row r="194">
          <cell r="F194">
            <v>47.487789999999997</v>
          </cell>
          <cell r="G194">
            <v>2100</v>
          </cell>
        </row>
        <row r="195">
          <cell r="F195">
            <v>47.487789999999997</v>
          </cell>
          <cell r="G195">
            <v>2287.5</v>
          </cell>
        </row>
        <row r="196">
          <cell r="F196">
            <v>47.487789999999997</v>
          </cell>
          <cell r="G196">
            <v>2268.75</v>
          </cell>
        </row>
        <row r="197">
          <cell r="F197">
            <v>47.487789999999997</v>
          </cell>
          <cell r="G197">
            <v>2137.5</v>
          </cell>
        </row>
        <row r="198">
          <cell r="F198">
            <v>47.487789999999997</v>
          </cell>
          <cell r="G198">
            <v>2381.25</v>
          </cell>
        </row>
        <row r="199">
          <cell r="F199">
            <v>47.487789999999997</v>
          </cell>
          <cell r="G199">
            <v>2400</v>
          </cell>
        </row>
        <row r="200">
          <cell r="F200">
            <v>27.710663499999999</v>
          </cell>
          <cell r="G200">
            <v>3221.25</v>
          </cell>
        </row>
        <row r="201">
          <cell r="F201">
            <v>84.633990000000011</v>
          </cell>
          <cell r="G201">
            <v>2550</v>
          </cell>
        </row>
        <row r="202">
          <cell r="F202">
            <v>84.633990000000011</v>
          </cell>
          <cell r="G202">
            <v>2587.5</v>
          </cell>
        </row>
        <row r="203">
          <cell r="F203">
            <v>84.633990000000011</v>
          </cell>
          <cell r="G203">
            <v>2587.5</v>
          </cell>
        </row>
        <row r="204">
          <cell r="F204">
            <v>84.633990000000011</v>
          </cell>
          <cell r="G204">
            <v>4856.25</v>
          </cell>
        </row>
        <row r="205">
          <cell r="F205">
            <v>84.633990000000011</v>
          </cell>
          <cell r="G205">
            <v>4650</v>
          </cell>
        </row>
        <row r="206">
          <cell r="F206">
            <v>84.633990000000011</v>
          </cell>
          <cell r="G206">
            <v>4350</v>
          </cell>
        </row>
        <row r="207">
          <cell r="F207">
            <v>84.633990000000011</v>
          </cell>
          <cell r="G207">
            <v>3881.25</v>
          </cell>
        </row>
        <row r="208">
          <cell r="F208">
            <v>84.633990000000011</v>
          </cell>
          <cell r="G208">
            <v>3318.75</v>
          </cell>
        </row>
        <row r="209">
          <cell r="F209">
            <v>109.84034</v>
          </cell>
          <cell r="G209">
            <v>2643.75</v>
          </cell>
        </row>
        <row r="210">
          <cell r="F210">
            <v>109.84034</v>
          </cell>
          <cell r="G210">
            <v>3131.25</v>
          </cell>
        </row>
        <row r="211">
          <cell r="F211">
            <v>109.84034</v>
          </cell>
          <cell r="G211">
            <v>2812.5</v>
          </cell>
        </row>
        <row r="212">
          <cell r="F212">
            <v>109.84034</v>
          </cell>
          <cell r="G212">
            <v>4443.75</v>
          </cell>
        </row>
        <row r="213">
          <cell r="F213">
            <v>109.84034</v>
          </cell>
          <cell r="G213">
            <v>4443.75</v>
          </cell>
        </row>
        <row r="214">
          <cell r="F214">
            <v>109.84034</v>
          </cell>
          <cell r="G214">
            <v>4143.75</v>
          </cell>
        </row>
        <row r="215">
          <cell r="F215">
            <v>109.84034</v>
          </cell>
          <cell r="G215">
            <v>3675</v>
          </cell>
        </row>
        <row r="216">
          <cell r="F216">
            <v>109.84034</v>
          </cell>
          <cell r="G216">
            <v>3243.75</v>
          </cell>
        </row>
        <row r="217">
          <cell r="F217">
            <v>109.84034</v>
          </cell>
          <cell r="G217">
            <v>4968.75</v>
          </cell>
        </row>
        <row r="218">
          <cell r="F218">
            <v>109.84034</v>
          </cell>
          <cell r="G218">
            <v>4856.25</v>
          </cell>
        </row>
        <row r="219">
          <cell r="F219">
            <v>109.84034</v>
          </cell>
          <cell r="G219">
            <v>4743.75</v>
          </cell>
        </row>
        <row r="220">
          <cell r="F220">
            <v>109.84034</v>
          </cell>
          <cell r="G220">
            <v>4443.75</v>
          </cell>
        </row>
        <row r="221">
          <cell r="F221">
            <v>109.84034</v>
          </cell>
          <cell r="G221">
            <v>3768.75</v>
          </cell>
        </row>
        <row r="222">
          <cell r="F222">
            <v>139.02663999999999</v>
          </cell>
          <cell r="G222">
            <v>2737.5</v>
          </cell>
        </row>
        <row r="223">
          <cell r="F223">
            <v>139.02663999999999</v>
          </cell>
          <cell r="G223">
            <v>3093.75</v>
          </cell>
        </row>
        <row r="224">
          <cell r="F224">
            <v>139.02663999999999</v>
          </cell>
          <cell r="G224">
            <v>3206.25</v>
          </cell>
        </row>
        <row r="225">
          <cell r="F225">
            <v>139.02663999999999</v>
          </cell>
          <cell r="G225">
            <v>5418.75</v>
          </cell>
        </row>
        <row r="226">
          <cell r="F226">
            <v>139.02663999999999</v>
          </cell>
          <cell r="G226">
            <v>4893.75</v>
          </cell>
        </row>
        <row r="227">
          <cell r="F227">
            <v>139.02663999999999</v>
          </cell>
          <cell r="G227">
            <v>4350</v>
          </cell>
        </row>
        <row r="228">
          <cell r="F228">
            <v>139.02663999999999</v>
          </cell>
          <cell r="G228">
            <v>3525</v>
          </cell>
        </row>
        <row r="229">
          <cell r="F229">
            <v>139.02663999999999</v>
          </cell>
          <cell r="G229">
            <v>6056.25</v>
          </cell>
        </row>
        <row r="230">
          <cell r="F230">
            <v>139.02663999999999</v>
          </cell>
          <cell r="G230">
            <v>5943.75</v>
          </cell>
        </row>
        <row r="231">
          <cell r="F231">
            <v>139.02663999999999</v>
          </cell>
          <cell r="G231">
            <v>5681.25</v>
          </cell>
        </row>
        <row r="232">
          <cell r="F232">
            <v>139.02663999999999</v>
          </cell>
          <cell r="G232">
            <v>4912.5</v>
          </cell>
        </row>
        <row r="233">
          <cell r="F233">
            <v>139.02663999999999</v>
          </cell>
          <cell r="G233">
            <v>4031.25</v>
          </cell>
        </row>
        <row r="234">
          <cell r="F234">
            <v>161.57969</v>
          </cell>
          <cell r="G234">
            <v>2793.75</v>
          </cell>
        </row>
        <row r="235">
          <cell r="F235">
            <v>161.57969</v>
          </cell>
          <cell r="G235">
            <v>3618.75</v>
          </cell>
        </row>
        <row r="236">
          <cell r="F236">
            <v>161.57969</v>
          </cell>
          <cell r="G236">
            <v>3150</v>
          </cell>
        </row>
        <row r="237">
          <cell r="F237">
            <v>161.57969</v>
          </cell>
          <cell r="G237">
            <v>5850</v>
          </cell>
        </row>
        <row r="238">
          <cell r="F238">
            <v>161.57969</v>
          </cell>
          <cell r="G238">
            <v>5850</v>
          </cell>
        </row>
        <row r="239">
          <cell r="F239">
            <v>161.57969</v>
          </cell>
          <cell r="G239">
            <v>5737.5</v>
          </cell>
        </row>
        <row r="240">
          <cell r="F240">
            <v>161.57969</v>
          </cell>
          <cell r="G240">
            <v>5025</v>
          </cell>
        </row>
        <row r="241">
          <cell r="F241">
            <v>161.57969</v>
          </cell>
          <cell r="G241">
            <v>3918.75</v>
          </cell>
        </row>
        <row r="242">
          <cell r="F242">
            <v>218.62563999999998</v>
          </cell>
          <cell r="G242">
            <v>2812.5</v>
          </cell>
        </row>
        <row r="243">
          <cell r="F243">
            <v>218.62563999999998</v>
          </cell>
          <cell r="G243">
            <v>4406.25</v>
          </cell>
        </row>
        <row r="244">
          <cell r="F244">
            <v>218.62563999999998</v>
          </cell>
          <cell r="G244">
            <v>3937.5</v>
          </cell>
        </row>
        <row r="245">
          <cell r="F245">
            <v>218.62563999999998</v>
          </cell>
          <cell r="G245">
            <v>7350</v>
          </cell>
        </row>
        <row r="246">
          <cell r="F246">
            <v>218.62563999999998</v>
          </cell>
          <cell r="G246">
            <v>7350</v>
          </cell>
        </row>
        <row r="247">
          <cell r="F247">
            <v>218.62563999999998</v>
          </cell>
          <cell r="G247">
            <v>7143.75</v>
          </cell>
        </row>
        <row r="248">
          <cell r="F248">
            <v>218.62563999999998</v>
          </cell>
          <cell r="G248">
            <v>6056.25</v>
          </cell>
        </row>
        <row r="249">
          <cell r="F249">
            <v>218.62563999999998</v>
          </cell>
          <cell r="G249">
            <v>4500</v>
          </cell>
        </row>
        <row r="250">
          <cell r="F250">
            <v>96.573840000000004</v>
          </cell>
          <cell r="G250">
            <v>2568.75</v>
          </cell>
        </row>
        <row r="251">
          <cell r="F251">
            <v>96.573840000000004</v>
          </cell>
          <cell r="G251">
            <v>2850</v>
          </cell>
        </row>
        <row r="252">
          <cell r="F252">
            <v>96.573840000000004</v>
          </cell>
          <cell r="G252">
            <v>2962.5</v>
          </cell>
        </row>
        <row r="253">
          <cell r="F253">
            <v>96.573840000000004</v>
          </cell>
          <cell r="G253">
            <v>7050</v>
          </cell>
        </row>
        <row r="254">
          <cell r="F254">
            <v>96.573840000000004</v>
          </cell>
          <cell r="G254">
            <v>6318.75</v>
          </cell>
        </row>
        <row r="255">
          <cell r="F255">
            <v>96.573840000000004</v>
          </cell>
          <cell r="G255">
            <v>5475</v>
          </cell>
        </row>
        <row r="256">
          <cell r="F256">
            <v>96.573840000000004</v>
          </cell>
          <cell r="G256">
            <v>4556.25</v>
          </cell>
        </row>
        <row r="257">
          <cell r="F257">
            <v>96.573840000000004</v>
          </cell>
          <cell r="G257">
            <v>3618.75</v>
          </cell>
        </row>
        <row r="258">
          <cell r="F258">
            <v>96.573840000000004</v>
          </cell>
          <cell r="G258">
            <v>8775</v>
          </cell>
        </row>
        <row r="259">
          <cell r="F259">
            <v>96.573840000000004</v>
          </cell>
          <cell r="G259">
            <v>8437.5</v>
          </cell>
        </row>
        <row r="260">
          <cell r="F260">
            <v>96.573840000000004</v>
          </cell>
          <cell r="G260">
            <v>7406.25</v>
          </cell>
        </row>
        <row r="261">
          <cell r="F261">
            <v>96.573840000000004</v>
          </cell>
          <cell r="G261">
            <v>5418.75</v>
          </cell>
        </row>
        <row r="262">
          <cell r="F262">
            <v>96.573840000000004</v>
          </cell>
          <cell r="G262">
            <v>3993.75</v>
          </cell>
        </row>
        <row r="263">
          <cell r="F263">
            <v>111.16699000000003</v>
          </cell>
          <cell r="G263">
            <v>2643.75</v>
          </cell>
        </row>
        <row r="264">
          <cell r="F264">
            <v>111.16699000000003</v>
          </cell>
          <cell r="G264">
            <v>2681.25</v>
          </cell>
        </row>
        <row r="265">
          <cell r="F265">
            <v>111.16699000000003</v>
          </cell>
          <cell r="G265">
            <v>3037.5</v>
          </cell>
        </row>
        <row r="266">
          <cell r="F266">
            <v>111.16699000000003</v>
          </cell>
          <cell r="G266">
            <v>9112.5</v>
          </cell>
        </row>
        <row r="267">
          <cell r="F267">
            <v>111.16699000000003</v>
          </cell>
          <cell r="G267">
            <v>9637.5</v>
          </cell>
        </row>
        <row r="268">
          <cell r="F268">
            <v>111.16699000000003</v>
          </cell>
          <cell r="G268">
            <v>7743.75</v>
          </cell>
        </row>
        <row r="269">
          <cell r="F269">
            <v>111.16699000000003</v>
          </cell>
          <cell r="G269">
            <v>5737.5</v>
          </cell>
        </row>
        <row r="270">
          <cell r="F270">
            <v>111.16699000000003</v>
          </cell>
          <cell r="G270">
            <v>4443.75</v>
          </cell>
        </row>
        <row r="271">
          <cell r="F271">
            <v>119.12688999999999</v>
          </cell>
          <cell r="G271">
            <v>2606.25</v>
          </cell>
        </row>
        <row r="272">
          <cell r="F272">
            <v>119.12688999999999</v>
          </cell>
          <cell r="G272">
            <v>3168.75</v>
          </cell>
        </row>
        <row r="273">
          <cell r="F273">
            <v>119.12688999999999</v>
          </cell>
          <cell r="G273">
            <v>3000</v>
          </cell>
        </row>
        <row r="274">
          <cell r="F274">
            <v>119.12688999999999</v>
          </cell>
          <cell r="G274">
            <v>4706.25</v>
          </cell>
        </row>
        <row r="275">
          <cell r="F275">
            <v>119.12688999999999</v>
          </cell>
          <cell r="G275">
            <v>4668.75</v>
          </cell>
        </row>
        <row r="276">
          <cell r="F276">
            <v>119.12688999999999</v>
          </cell>
          <cell r="G276">
            <v>4593.75</v>
          </cell>
        </row>
        <row r="277">
          <cell r="F277">
            <v>119.12688999999999</v>
          </cell>
          <cell r="G277">
            <v>4293.75</v>
          </cell>
        </row>
        <row r="278">
          <cell r="F278">
            <v>119.12688999999999</v>
          </cell>
          <cell r="G278">
            <v>3768.75</v>
          </cell>
        </row>
        <row r="279">
          <cell r="F279">
            <v>163.60950374999999</v>
          </cell>
          <cell r="G279">
            <v>3281.25</v>
          </cell>
        </row>
        <row r="280">
          <cell r="F280">
            <v>163.60950374999999</v>
          </cell>
          <cell r="G280">
            <v>4181.25</v>
          </cell>
        </row>
        <row r="281">
          <cell r="F281">
            <v>163.60950374999999</v>
          </cell>
          <cell r="G281">
            <v>11962.5</v>
          </cell>
        </row>
        <row r="282">
          <cell r="F282">
            <v>163.60950374999999</v>
          </cell>
          <cell r="G282">
            <v>10687.5</v>
          </cell>
        </row>
        <row r="283">
          <cell r="F283">
            <v>163.60950374999999</v>
          </cell>
          <cell r="G283">
            <v>8662.5</v>
          </cell>
        </row>
        <row r="284">
          <cell r="F284">
            <v>163.60950374999999</v>
          </cell>
          <cell r="G284">
            <v>6206.25</v>
          </cell>
        </row>
        <row r="285">
          <cell r="F285">
            <v>163.60950374999999</v>
          </cell>
          <cell r="G285">
            <v>4668.75</v>
          </cell>
        </row>
        <row r="286">
          <cell r="F286">
            <v>5262.8732780000009</v>
          </cell>
          <cell r="G286">
            <v>2325</v>
          </cell>
        </row>
        <row r="287">
          <cell r="F287">
            <v>5262.8732780000009</v>
          </cell>
          <cell r="G287">
            <v>3255</v>
          </cell>
        </row>
        <row r="288">
          <cell r="F288">
            <v>3757.3271000000004</v>
          </cell>
          <cell r="G288">
            <v>2175</v>
          </cell>
        </row>
        <row r="289">
          <cell r="F289">
            <v>3762.5661000000005</v>
          </cell>
          <cell r="G289">
            <v>2062.5</v>
          </cell>
        </row>
        <row r="290">
          <cell r="F290">
            <v>3767.8051000000005</v>
          </cell>
          <cell r="G290">
            <v>1875</v>
          </cell>
        </row>
        <row r="291">
          <cell r="F291">
            <v>3655.1356000000005</v>
          </cell>
          <cell r="G291">
            <v>1860</v>
          </cell>
        </row>
        <row r="292">
          <cell r="F292">
            <v>3698.7293500000005</v>
          </cell>
          <cell r="G292">
            <v>2175</v>
          </cell>
        </row>
        <row r="293">
          <cell r="F293">
            <v>4037.6949750000008</v>
          </cell>
          <cell r="G293">
            <v>1965</v>
          </cell>
        </row>
        <row r="294">
          <cell r="F294">
            <v>4037.6949750000008</v>
          </cell>
          <cell r="G294">
            <v>2325</v>
          </cell>
        </row>
        <row r="295">
          <cell r="F295">
            <v>4309.0224750000007</v>
          </cell>
          <cell r="G295">
            <v>2287.5</v>
          </cell>
        </row>
        <row r="296">
          <cell r="F296">
            <v>4568.3413499999997</v>
          </cell>
          <cell r="G296">
            <v>2610</v>
          </cell>
        </row>
        <row r="297">
          <cell r="F297">
            <v>4581.4388500000005</v>
          </cell>
          <cell r="G297">
            <v>2610</v>
          </cell>
        </row>
        <row r="298">
          <cell r="F298">
            <v>4762.2463500000003</v>
          </cell>
          <cell r="G298">
            <v>1965</v>
          </cell>
        </row>
        <row r="299">
          <cell r="F299">
            <v>4453.311200000001</v>
          </cell>
          <cell r="G299">
            <v>1627.5</v>
          </cell>
        </row>
        <row r="300">
          <cell r="F300">
            <v>4714.2512000000006</v>
          </cell>
          <cell r="G300">
            <v>1627.5</v>
          </cell>
        </row>
        <row r="301">
          <cell r="F301">
            <v>3224.3257800000001</v>
          </cell>
          <cell r="G301">
            <v>6337.5</v>
          </cell>
        </row>
        <row r="302">
          <cell r="F302">
            <v>3159.3826094999999</v>
          </cell>
          <cell r="G302">
            <v>2400</v>
          </cell>
        </row>
        <row r="303">
          <cell r="F303">
            <v>3159.3826094999999</v>
          </cell>
          <cell r="G303">
            <v>4781.25</v>
          </cell>
        </row>
        <row r="304">
          <cell r="F304">
            <v>3159.3826094999999</v>
          </cell>
          <cell r="G304">
            <v>7106.25</v>
          </cell>
        </row>
        <row r="305">
          <cell r="F305">
            <v>3159.3826094999999</v>
          </cell>
          <cell r="G305">
            <v>2343.75</v>
          </cell>
        </row>
        <row r="306">
          <cell r="F306">
            <v>3159.3826094999999</v>
          </cell>
          <cell r="G306">
            <v>2332.5</v>
          </cell>
        </row>
        <row r="307">
          <cell r="F307">
            <v>3159.3826094999999</v>
          </cell>
          <cell r="G307">
            <v>2400</v>
          </cell>
        </row>
        <row r="308">
          <cell r="F308">
            <v>3406.2997799999998</v>
          </cell>
          <cell r="G308">
            <v>6337.5</v>
          </cell>
        </row>
        <row r="309">
          <cell r="F309">
            <v>3406.2997799999998</v>
          </cell>
          <cell r="G309">
            <v>4781.25</v>
          </cell>
        </row>
        <row r="310">
          <cell r="F310">
            <v>3406.2997799999998</v>
          </cell>
          <cell r="G310">
            <v>2437.5</v>
          </cell>
        </row>
        <row r="311">
          <cell r="F311">
            <v>1568.6779405</v>
          </cell>
          <cell r="G311">
            <v>2771.25</v>
          </cell>
        </row>
        <row r="312">
          <cell r="F312">
            <v>3298.8196800000001</v>
          </cell>
          <cell r="G312">
            <v>3562.5</v>
          </cell>
        </row>
        <row r="313">
          <cell r="F313">
            <v>3273.0296940000003</v>
          </cell>
          <cell r="G313">
            <v>5220</v>
          </cell>
        </row>
        <row r="314">
          <cell r="F314">
            <v>3273.0296940000003</v>
          </cell>
          <cell r="G314">
            <v>3877.5</v>
          </cell>
        </row>
        <row r="315">
          <cell r="F315">
            <v>3273.0296940000003</v>
          </cell>
          <cell r="G315">
            <v>6412.5</v>
          </cell>
        </row>
        <row r="316">
          <cell r="F316">
            <v>3273.0296940000003</v>
          </cell>
          <cell r="G316">
            <v>1650</v>
          </cell>
        </row>
        <row r="317">
          <cell r="F317">
            <v>3273.0296940000003</v>
          </cell>
          <cell r="G317">
            <v>7207.5</v>
          </cell>
        </row>
        <row r="318">
          <cell r="F318">
            <v>3256.9679339999998</v>
          </cell>
          <cell r="G318">
            <v>1650</v>
          </cell>
        </row>
        <row r="319">
          <cell r="F319">
            <v>3453.4373807499996</v>
          </cell>
          <cell r="G319">
            <v>1931.25</v>
          </cell>
        </row>
        <row r="320">
          <cell r="F320">
            <v>3453.4373807499996</v>
          </cell>
          <cell r="G320">
            <v>3093.75</v>
          </cell>
        </row>
        <row r="321">
          <cell r="F321">
            <v>3453.4373807499996</v>
          </cell>
          <cell r="G321">
            <v>4781.25</v>
          </cell>
        </row>
        <row r="322">
          <cell r="F322">
            <v>3453.4373807499996</v>
          </cell>
          <cell r="G322">
            <v>6225</v>
          </cell>
        </row>
        <row r="323">
          <cell r="F323">
            <v>3542.8004899999996</v>
          </cell>
          <cell r="G323">
            <v>1815</v>
          </cell>
        </row>
        <row r="324">
          <cell r="F324">
            <v>3542.8004899999996</v>
          </cell>
          <cell r="G324">
            <v>4338.75</v>
          </cell>
        </row>
        <row r="325">
          <cell r="F325">
            <v>3649.2633753750006</v>
          </cell>
          <cell r="G325">
            <v>5587.5</v>
          </cell>
        </row>
        <row r="326">
          <cell r="F326">
            <v>3649.2633753750006</v>
          </cell>
          <cell r="G326">
            <v>4518.75</v>
          </cell>
        </row>
        <row r="327">
          <cell r="F327">
            <v>3649.2633753750006</v>
          </cell>
          <cell r="G327">
            <v>3093.75</v>
          </cell>
        </row>
        <row r="328">
          <cell r="F328">
            <v>3649.2633753750006</v>
          </cell>
          <cell r="G328">
            <v>1931.25</v>
          </cell>
        </row>
        <row r="329">
          <cell r="F329">
            <v>3642.5414003750002</v>
          </cell>
          <cell r="G329">
            <v>1875</v>
          </cell>
        </row>
        <row r="330">
          <cell r="F330">
            <v>3615.1463691250005</v>
          </cell>
          <cell r="G330">
            <v>2100</v>
          </cell>
        </row>
        <row r="331">
          <cell r="F331">
            <v>3449.4270107499997</v>
          </cell>
          <cell r="G331">
            <v>1807.5</v>
          </cell>
        </row>
        <row r="332">
          <cell r="F332">
            <v>3810.7501091250001</v>
          </cell>
          <cell r="G332">
            <v>1931.25</v>
          </cell>
        </row>
        <row r="333">
          <cell r="F333">
            <v>3802.5713984999998</v>
          </cell>
          <cell r="G333">
            <v>1552.5</v>
          </cell>
        </row>
        <row r="334">
          <cell r="F334">
            <v>4321.8733350000002</v>
          </cell>
          <cell r="G334">
            <v>1931.25</v>
          </cell>
        </row>
        <row r="335">
          <cell r="F335">
            <v>4831.3218705000008</v>
          </cell>
          <cell r="G335">
            <v>1931.25</v>
          </cell>
        </row>
        <row r="336">
          <cell r="F336">
            <v>5041.2967174999994</v>
          </cell>
          <cell r="G336">
            <v>2587.5</v>
          </cell>
        </row>
        <row r="337">
          <cell r="F337">
            <v>3732.5767502500003</v>
          </cell>
          <cell r="G337">
            <v>1931.25</v>
          </cell>
        </row>
        <row r="338">
          <cell r="F338">
            <v>3725.8421002499999</v>
          </cell>
          <cell r="G338">
            <v>1800</v>
          </cell>
        </row>
        <row r="339">
          <cell r="F339">
            <v>3725.8421002499999</v>
          </cell>
          <cell r="G339">
            <v>2175</v>
          </cell>
        </row>
        <row r="340">
          <cell r="F340">
            <v>3923.4745887499998</v>
          </cell>
          <cell r="G340">
            <v>1642.5</v>
          </cell>
        </row>
        <row r="341">
          <cell r="F341">
            <v>3923.4745887499998</v>
          </cell>
          <cell r="G341">
            <v>6420</v>
          </cell>
        </row>
        <row r="342">
          <cell r="F342">
            <v>3732.5767502500003</v>
          </cell>
          <cell r="G342">
            <v>1837.5</v>
          </cell>
        </row>
        <row r="343">
          <cell r="F343">
            <v>4283.7819502499997</v>
          </cell>
          <cell r="G343">
            <v>1826.25</v>
          </cell>
        </row>
        <row r="344">
          <cell r="F344">
            <v>4277.0473002500003</v>
          </cell>
          <cell r="G344">
            <v>1713.75</v>
          </cell>
        </row>
        <row r="345">
          <cell r="F345">
            <v>3461.49618375</v>
          </cell>
          <cell r="G345">
            <v>1653.75</v>
          </cell>
        </row>
        <row r="346">
          <cell r="F346">
            <v>3713.4264000000007</v>
          </cell>
          <cell r="G346">
            <v>1837.5</v>
          </cell>
        </row>
        <row r="347">
          <cell r="F347">
            <v>3603.0609573750003</v>
          </cell>
          <cell r="G347">
            <v>1837.5</v>
          </cell>
        </row>
        <row r="348">
          <cell r="F348">
            <v>3681.37216975</v>
          </cell>
          <cell r="G348">
            <v>1560</v>
          </cell>
        </row>
        <row r="349">
          <cell r="F349">
            <v>5235.4076429999996</v>
          </cell>
          <cell r="G349">
            <v>2775</v>
          </cell>
        </row>
        <row r="350">
          <cell r="F350">
            <v>4618.0957214999999</v>
          </cell>
          <cell r="G350">
            <v>2988.75</v>
          </cell>
        </row>
        <row r="351">
          <cell r="F351">
            <v>4618.0957214999999</v>
          </cell>
          <cell r="G351">
            <v>9525</v>
          </cell>
        </row>
        <row r="352">
          <cell r="F352">
            <v>4005.9637120000002</v>
          </cell>
          <cell r="G352">
            <v>6517.5</v>
          </cell>
        </row>
        <row r="353">
          <cell r="F353">
            <v>4005.9637120000002</v>
          </cell>
          <cell r="G353">
            <v>10425</v>
          </cell>
        </row>
        <row r="354">
          <cell r="F354">
            <v>4005.9637120000002</v>
          </cell>
          <cell r="G354">
            <v>4395</v>
          </cell>
        </row>
        <row r="355">
          <cell r="F355">
            <v>4500.5112950000002</v>
          </cell>
          <cell r="G355">
            <v>3315</v>
          </cell>
        </row>
        <row r="356">
          <cell r="F356">
            <v>4500.5112950000002</v>
          </cell>
          <cell r="G356">
            <v>6352.5</v>
          </cell>
        </row>
        <row r="357">
          <cell r="F357">
            <v>5073.6878499999993</v>
          </cell>
          <cell r="G357">
            <v>4218.75</v>
          </cell>
        </row>
        <row r="358">
          <cell r="F358">
            <v>5851.6200000000008</v>
          </cell>
          <cell r="G358">
            <v>3412.5</v>
          </cell>
        </row>
        <row r="359">
          <cell r="F359">
            <v>7270.2591000000011</v>
          </cell>
          <cell r="G359">
            <v>3750</v>
          </cell>
        </row>
        <row r="360">
          <cell r="F360">
            <v>7279.2028500000006</v>
          </cell>
          <cell r="G360">
            <v>4526.25</v>
          </cell>
        </row>
        <row r="361">
          <cell r="F361">
            <v>4649.0551855000003</v>
          </cell>
          <cell r="G361">
            <v>3637.5</v>
          </cell>
        </row>
        <row r="362">
          <cell r="F362">
            <v>4997.0828700000002</v>
          </cell>
          <cell r="G362">
            <v>4125</v>
          </cell>
        </row>
        <row r="363">
          <cell r="F363">
            <v>4067.0147400000001</v>
          </cell>
          <cell r="G363">
            <v>4050</v>
          </cell>
        </row>
        <row r="364">
          <cell r="F364">
            <v>4200.96739875</v>
          </cell>
          <cell r="G364">
            <v>3993.75</v>
          </cell>
        </row>
        <row r="365">
          <cell r="F365">
            <v>5334.9670849999993</v>
          </cell>
          <cell r="G365">
            <v>4125</v>
          </cell>
        </row>
        <row r="366">
          <cell r="F366">
            <v>5462.3227512499998</v>
          </cell>
          <cell r="G366">
            <v>4050</v>
          </cell>
        </row>
        <row r="367">
          <cell r="F367">
            <v>3619.3060225000004</v>
          </cell>
          <cell r="G367">
            <v>3112.5</v>
          </cell>
        </row>
        <row r="368">
          <cell r="F368">
            <v>5136.9856475000006</v>
          </cell>
          <cell r="G368">
            <v>3221.25</v>
          </cell>
        </row>
        <row r="369">
          <cell r="F369">
            <v>5136.9856475000006</v>
          </cell>
          <cell r="G369">
            <v>3356.25</v>
          </cell>
        </row>
        <row r="370">
          <cell r="F370">
            <v>2458.9278859999999</v>
          </cell>
          <cell r="G370">
            <v>1668.75</v>
          </cell>
        </row>
        <row r="371">
          <cell r="F371">
            <v>2126.2372198749999</v>
          </cell>
          <cell r="G371">
            <v>1875</v>
          </cell>
        </row>
        <row r="372">
          <cell r="F372">
            <v>2836.9371000000001</v>
          </cell>
          <cell r="G372">
            <v>1931.25</v>
          </cell>
        </row>
        <row r="373">
          <cell r="F373">
            <v>3186.1706079999999</v>
          </cell>
          <cell r="G373">
            <v>2212.5</v>
          </cell>
        </row>
        <row r="374">
          <cell r="F374">
            <v>3239.4517319999995</v>
          </cell>
          <cell r="G374">
            <v>3375</v>
          </cell>
        </row>
        <row r="375">
          <cell r="F375">
            <v>3506.7717860000002</v>
          </cell>
          <cell r="G375">
            <v>2587.5</v>
          </cell>
        </row>
        <row r="376">
          <cell r="F376">
            <v>3348.990198</v>
          </cell>
          <cell r="G376">
            <v>2437.5</v>
          </cell>
        </row>
        <row r="377">
          <cell r="F377">
            <v>3408.7357200000001</v>
          </cell>
          <cell r="G377">
            <v>2737.5</v>
          </cell>
        </row>
        <row r="378">
          <cell r="F378">
            <v>3866.6425200000003</v>
          </cell>
          <cell r="G378">
            <v>2325</v>
          </cell>
        </row>
        <row r="379">
          <cell r="F379">
            <v>3922.8025200000002</v>
          </cell>
          <cell r="G379">
            <v>2343.75</v>
          </cell>
        </row>
        <row r="380">
          <cell r="F380">
            <v>4505.3130000000001</v>
          </cell>
          <cell r="G380">
            <v>2343.75</v>
          </cell>
        </row>
        <row r="381">
          <cell r="F381">
            <v>6068.9321090000003</v>
          </cell>
          <cell r="G381">
            <v>3506.25</v>
          </cell>
        </row>
        <row r="382">
          <cell r="F382">
            <v>2485.2996740000003</v>
          </cell>
          <cell r="G382">
            <v>7781.25</v>
          </cell>
        </row>
        <row r="383">
          <cell r="F383">
            <v>2485.2996740000003</v>
          </cell>
          <cell r="G383">
            <v>5962.5</v>
          </cell>
        </row>
        <row r="384">
          <cell r="F384">
            <v>2485.2996740000003</v>
          </cell>
          <cell r="G384">
            <v>5175</v>
          </cell>
        </row>
        <row r="385">
          <cell r="F385">
            <v>2485.2996740000003</v>
          </cell>
          <cell r="G385">
            <v>3862.5</v>
          </cell>
        </row>
        <row r="386">
          <cell r="F386">
            <v>2543.1737239999998</v>
          </cell>
          <cell r="G386">
            <v>8550</v>
          </cell>
        </row>
        <row r="387">
          <cell r="F387">
            <v>2543.1737239999998</v>
          </cell>
          <cell r="G387">
            <v>6468.75</v>
          </cell>
        </row>
        <row r="388">
          <cell r="F388">
            <v>2543.1737239999998</v>
          </cell>
          <cell r="G388">
            <v>5850</v>
          </cell>
        </row>
        <row r="389">
          <cell r="F389">
            <v>2543.1737239999998</v>
          </cell>
          <cell r="G389">
            <v>3468.75</v>
          </cell>
        </row>
        <row r="390">
          <cell r="F390">
            <v>2527.9092299999998</v>
          </cell>
          <cell r="G390">
            <v>5175</v>
          </cell>
        </row>
        <row r="391">
          <cell r="F391">
            <v>2279.9244560000002</v>
          </cell>
          <cell r="G391">
            <v>2981.25</v>
          </cell>
        </row>
        <row r="392">
          <cell r="F392">
            <v>2279.9244560000002</v>
          </cell>
          <cell r="G392">
            <v>4950</v>
          </cell>
        </row>
        <row r="393">
          <cell r="F393">
            <v>2279.9244560000002</v>
          </cell>
          <cell r="G393">
            <v>4387.5</v>
          </cell>
        </row>
        <row r="394">
          <cell r="F394">
            <v>2388.8476000000001</v>
          </cell>
          <cell r="G394">
            <v>2197.5</v>
          </cell>
        </row>
        <row r="395">
          <cell r="F395">
            <v>2388.8476000000001</v>
          </cell>
          <cell r="G395">
            <v>7875</v>
          </cell>
        </row>
        <row r="396">
          <cell r="F396">
            <v>2388.8476000000001</v>
          </cell>
          <cell r="G396">
            <v>5816.25</v>
          </cell>
        </row>
        <row r="397">
          <cell r="F397">
            <v>2379.6793500000003</v>
          </cell>
          <cell r="G397">
            <v>1893.75</v>
          </cell>
        </row>
        <row r="398">
          <cell r="F398">
            <v>2404.2595200000001</v>
          </cell>
          <cell r="G398">
            <v>4950</v>
          </cell>
        </row>
        <row r="399">
          <cell r="F399">
            <v>2390.43597</v>
          </cell>
          <cell r="G399">
            <v>4125</v>
          </cell>
        </row>
        <row r="400">
          <cell r="F400">
            <v>2469.9565799999996</v>
          </cell>
          <cell r="G400">
            <v>3937.5</v>
          </cell>
        </row>
        <row r="401">
          <cell r="F401">
            <v>2549.0797799999996</v>
          </cell>
          <cell r="G401">
            <v>2437.5</v>
          </cell>
        </row>
        <row r="402">
          <cell r="F402">
            <v>2549.0797799999996</v>
          </cell>
          <cell r="G402">
            <v>5400</v>
          </cell>
        </row>
        <row r="403">
          <cell r="F403">
            <v>3324.2110199999997</v>
          </cell>
          <cell r="G403">
            <v>9075</v>
          </cell>
        </row>
        <row r="404">
          <cell r="F404">
            <v>3324.2110199999997</v>
          </cell>
          <cell r="G404">
            <v>5437.5</v>
          </cell>
        </row>
        <row r="405">
          <cell r="F405">
            <v>2398.1603799999998</v>
          </cell>
          <cell r="G405">
            <v>3131.25</v>
          </cell>
        </row>
        <row r="406">
          <cell r="F406">
            <v>2523.11598</v>
          </cell>
          <cell r="G406">
            <v>11100</v>
          </cell>
        </row>
        <row r="407">
          <cell r="F407">
            <v>2516.3992699999999</v>
          </cell>
          <cell r="G407">
            <v>5178.75</v>
          </cell>
        </row>
        <row r="408">
          <cell r="F408">
            <v>3047.7595200000005</v>
          </cell>
          <cell r="G408">
            <v>7743.75</v>
          </cell>
        </row>
        <row r="409">
          <cell r="F409">
            <v>3047.7595200000005</v>
          </cell>
          <cell r="G409">
            <v>5962.5</v>
          </cell>
        </row>
        <row r="410">
          <cell r="F410">
            <v>3047.7595200000005</v>
          </cell>
          <cell r="G410">
            <v>4912.5</v>
          </cell>
        </row>
        <row r="411">
          <cell r="F411">
            <v>3302.23452</v>
          </cell>
          <cell r="G411">
            <v>3112.5</v>
          </cell>
        </row>
        <row r="412">
          <cell r="F412">
            <v>3302.23452</v>
          </cell>
          <cell r="G412">
            <v>12412.5</v>
          </cell>
        </row>
        <row r="413">
          <cell r="F413">
            <v>3302.23452</v>
          </cell>
          <cell r="G413">
            <v>3187.5</v>
          </cell>
        </row>
        <row r="414">
          <cell r="F414">
            <v>3302.23452</v>
          </cell>
          <cell r="G414">
            <v>13950</v>
          </cell>
        </row>
        <row r="415">
          <cell r="F415">
            <v>3302.23452</v>
          </cell>
          <cell r="G415">
            <v>3375</v>
          </cell>
        </row>
        <row r="416">
          <cell r="F416">
            <v>3302.23452</v>
          </cell>
          <cell r="G416">
            <v>14283.75</v>
          </cell>
        </row>
        <row r="417">
          <cell r="F417">
            <v>3905.3908862500002</v>
          </cell>
          <cell r="G417">
            <v>7162.5</v>
          </cell>
        </row>
        <row r="418">
          <cell r="F418">
            <v>2918.4387706250009</v>
          </cell>
          <cell r="G418">
            <v>8137.5</v>
          </cell>
        </row>
        <row r="419">
          <cell r="F419">
            <v>3189.8216137500008</v>
          </cell>
          <cell r="G419">
            <v>7072.5</v>
          </cell>
        </row>
        <row r="420">
          <cell r="F420">
            <v>3202.0431525000008</v>
          </cell>
          <cell r="G420">
            <v>6528.75</v>
          </cell>
        </row>
        <row r="421">
          <cell r="F421">
            <v>3189.8216137500008</v>
          </cell>
          <cell r="G421">
            <v>8700</v>
          </cell>
        </row>
        <row r="422">
          <cell r="F422">
            <v>3189.1751812500002</v>
          </cell>
          <cell r="G422">
            <v>8325</v>
          </cell>
        </row>
        <row r="423">
          <cell r="F423">
            <v>3189.1751812500002</v>
          </cell>
          <cell r="G423">
            <v>8550</v>
          </cell>
        </row>
        <row r="424">
          <cell r="F424">
            <v>3189.1751812500002</v>
          </cell>
          <cell r="G424">
            <v>8137.5</v>
          </cell>
        </row>
        <row r="425">
          <cell r="F425">
            <v>3189.1751812500002</v>
          </cell>
          <cell r="G425">
            <v>7275</v>
          </cell>
        </row>
        <row r="426">
          <cell r="F426">
            <v>3189.1751812500002</v>
          </cell>
          <cell r="G426">
            <v>6825</v>
          </cell>
        </row>
        <row r="427">
          <cell r="F427">
            <v>3189.1751812500002</v>
          </cell>
          <cell r="G427">
            <v>6187.5</v>
          </cell>
        </row>
        <row r="428">
          <cell r="F428">
            <v>2891.4968520000007</v>
          </cell>
          <cell r="G428">
            <v>7785</v>
          </cell>
        </row>
        <row r="429">
          <cell r="F429">
            <v>2891.4968520000007</v>
          </cell>
          <cell r="G429">
            <v>6806.25</v>
          </cell>
        </row>
        <row r="430">
          <cell r="F430">
            <v>2891.4968520000007</v>
          </cell>
          <cell r="G430">
            <v>6258.75</v>
          </cell>
        </row>
        <row r="431">
          <cell r="F431">
            <v>2891.4968520000007</v>
          </cell>
          <cell r="G431">
            <v>5715</v>
          </cell>
        </row>
        <row r="432">
          <cell r="F432">
            <v>2891.4968520000007</v>
          </cell>
          <cell r="G432">
            <v>4080</v>
          </cell>
        </row>
        <row r="433">
          <cell r="F433">
            <v>2891.4968520000007</v>
          </cell>
          <cell r="G433">
            <v>9262.5</v>
          </cell>
        </row>
        <row r="434">
          <cell r="F434">
            <v>2891.4968520000007</v>
          </cell>
          <cell r="G434">
            <v>8437.5</v>
          </cell>
        </row>
        <row r="435">
          <cell r="F435">
            <v>3165.5077019999999</v>
          </cell>
          <cell r="G435">
            <v>7875</v>
          </cell>
        </row>
        <row r="436">
          <cell r="F436">
            <v>3165.5077019999999</v>
          </cell>
          <cell r="G436">
            <v>6930</v>
          </cell>
        </row>
        <row r="437">
          <cell r="F437">
            <v>3165.5077019999999</v>
          </cell>
          <cell r="G437">
            <v>6258.75</v>
          </cell>
        </row>
        <row r="438">
          <cell r="F438">
            <v>3165.5077019999999</v>
          </cell>
          <cell r="G438">
            <v>5561.25</v>
          </cell>
        </row>
        <row r="439">
          <cell r="F439">
            <v>3165.5077019999999</v>
          </cell>
          <cell r="G439">
            <v>4083.75</v>
          </cell>
        </row>
        <row r="440">
          <cell r="F440">
            <v>3165.5077019999999</v>
          </cell>
          <cell r="G440">
            <v>9262.5</v>
          </cell>
        </row>
        <row r="441">
          <cell r="F441">
            <v>3165.5077019999999</v>
          </cell>
          <cell r="G441">
            <v>8437.5</v>
          </cell>
        </row>
        <row r="442">
          <cell r="F442">
            <v>3149.2798160000002</v>
          </cell>
          <cell r="G442">
            <v>8175</v>
          </cell>
        </row>
        <row r="443">
          <cell r="F443">
            <v>3589.2494470000001</v>
          </cell>
          <cell r="G443">
            <v>8325</v>
          </cell>
        </row>
        <row r="444">
          <cell r="F444">
            <v>3416.392112</v>
          </cell>
          <cell r="G444">
            <v>8437.5</v>
          </cell>
        </row>
        <row r="445">
          <cell r="F445">
            <v>3416.392112</v>
          </cell>
          <cell r="G445">
            <v>8812.5</v>
          </cell>
        </row>
        <row r="446">
          <cell r="F446">
            <v>2957.9622625000006</v>
          </cell>
          <cell r="G446">
            <v>8137.5</v>
          </cell>
        </row>
        <row r="447">
          <cell r="F447">
            <v>2957.9622625000006</v>
          </cell>
          <cell r="G447">
            <v>7226.25</v>
          </cell>
        </row>
        <row r="448">
          <cell r="F448">
            <v>2957.9622625000006</v>
          </cell>
          <cell r="G448">
            <v>5715</v>
          </cell>
        </row>
        <row r="449">
          <cell r="F449">
            <v>2957.9622625000006</v>
          </cell>
          <cell r="G449">
            <v>4080</v>
          </cell>
        </row>
        <row r="450">
          <cell r="F450">
            <v>2957.9622625000006</v>
          </cell>
          <cell r="G450">
            <v>9150</v>
          </cell>
        </row>
        <row r="451">
          <cell r="F451">
            <v>2957.9622625000006</v>
          </cell>
          <cell r="G451">
            <v>8700</v>
          </cell>
        </row>
        <row r="452">
          <cell r="F452">
            <v>2957.9622625000006</v>
          </cell>
          <cell r="G452">
            <v>5171.25</v>
          </cell>
        </row>
        <row r="453">
          <cell r="F453">
            <v>2314.1066000000001</v>
          </cell>
          <cell r="G453">
            <v>10087.5</v>
          </cell>
        </row>
        <row r="454">
          <cell r="F454">
            <v>2314.1066000000001</v>
          </cell>
          <cell r="G454">
            <v>11137.5</v>
          </cell>
        </row>
        <row r="455">
          <cell r="F455">
            <v>2347.0848252500004</v>
          </cell>
          <cell r="G455">
            <v>10987.5</v>
          </cell>
        </row>
        <row r="456">
          <cell r="F456">
            <v>2347.0848252500004</v>
          </cell>
          <cell r="G456">
            <v>12037.5</v>
          </cell>
        </row>
        <row r="457">
          <cell r="F457">
            <v>2985.6246418749997</v>
          </cell>
          <cell r="G457">
            <v>8775</v>
          </cell>
        </row>
        <row r="458">
          <cell r="F458">
            <v>2985.6246418749997</v>
          </cell>
          <cell r="G458">
            <v>8362.5</v>
          </cell>
        </row>
        <row r="459">
          <cell r="F459">
            <v>2985.6246418749997</v>
          </cell>
          <cell r="G459">
            <v>6506.25</v>
          </cell>
        </row>
        <row r="460">
          <cell r="F460">
            <v>2695.9347819999998</v>
          </cell>
          <cell r="G460">
            <v>10350</v>
          </cell>
        </row>
        <row r="461">
          <cell r="F461">
            <v>2695.9347819999998</v>
          </cell>
          <cell r="G461">
            <v>9525</v>
          </cell>
        </row>
        <row r="462">
          <cell r="F462">
            <v>2695.9347819999998</v>
          </cell>
          <cell r="G462">
            <v>9000</v>
          </cell>
        </row>
        <row r="463">
          <cell r="F463">
            <v>2695.9347819999998</v>
          </cell>
          <cell r="G463">
            <v>7353.75</v>
          </cell>
        </row>
        <row r="464">
          <cell r="F464">
            <v>2695.9347819999998</v>
          </cell>
          <cell r="G464">
            <v>4901.25</v>
          </cell>
        </row>
        <row r="465">
          <cell r="F465">
            <v>2695.9347819999998</v>
          </cell>
          <cell r="G465">
            <v>10800</v>
          </cell>
        </row>
        <row r="466">
          <cell r="F466">
            <v>3235.2013980000002</v>
          </cell>
          <cell r="G466">
            <v>9000</v>
          </cell>
        </row>
        <row r="467">
          <cell r="F467">
            <v>882.35558399999991</v>
          </cell>
          <cell r="G467">
            <v>14325</v>
          </cell>
        </row>
        <row r="468">
          <cell r="F468">
            <v>1531.86644325</v>
          </cell>
          <cell r="G468">
            <v>14775</v>
          </cell>
        </row>
        <row r="469">
          <cell r="F469">
            <v>1759.9904000000001</v>
          </cell>
          <cell r="G469">
            <v>15637.5</v>
          </cell>
        </row>
        <row r="470">
          <cell r="F470">
            <v>825.24278549999985</v>
          </cell>
          <cell r="G470">
            <v>14137.5</v>
          </cell>
        </row>
        <row r="471">
          <cell r="F471">
            <v>645.74587725000004</v>
          </cell>
          <cell r="G471">
            <v>15750</v>
          </cell>
        </row>
        <row r="472">
          <cell r="F472">
            <v>2859.3519832499996</v>
          </cell>
          <cell r="G472">
            <v>16275</v>
          </cell>
        </row>
        <row r="473">
          <cell r="F473">
            <v>1880.2944562499999</v>
          </cell>
          <cell r="G473">
            <v>12825</v>
          </cell>
        </row>
        <row r="474">
          <cell r="F474">
            <v>1746.2634705</v>
          </cell>
          <cell r="G474">
            <v>13350</v>
          </cell>
        </row>
        <row r="475">
          <cell r="F475">
            <v>2890.5337575000008</v>
          </cell>
          <cell r="G475">
            <v>15562.5</v>
          </cell>
        </row>
        <row r="476">
          <cell r="F476">
            <v>3049.0848850000002</v>
          </cell>
          <cell r="G476">
            <v>15562.5</v>
          </cell>
        </row>
        <row r="477">
          <cell r="F477">
            <v>3071.2127599999999</v>
          </cell>
          <cell r="G477">
            <v>15562.5</v>
          </cell>
        </row>
        <row r="478">
          <cell r="F478">
            <v>3606.2376350000004</v>
          </cell>
          <cell r="G478">
            <v>15266.25</v>
          </cell>
        </row>
        <row r="479">
          <cell r="F479">
            <v>3719.177385</v>
          </cell>
          <cell r="G479">
            <v>16162.5</v>
          </cell>
        </row>
        <row r="480">
          <cell r="F480">
            <v>1467.6573907500001</v>
          </cell>
          <cell r="G480">
            <v>10173.75</v>
          </cell>
        </row>
        <row r="481">
          <cell r="F481">
            <v>1558.7088577500001</v>
          </cell>
          <cell r="G481">
            <v>9487.5</v>
          </cell>
        </row>
        <row r="482">
          <cell r="F482">
            <v>1964.4488955000002</v>
          </cell>
          <cell r="G482">
            <v>9828.75</v>
          </cell>
        </row>
        <row r="483">
          <cell r="F483">
            <v>1667.5962582500001</v>
          </cell>
          <cell r="G483">
            <v>12375</v>
          </cell>
        </row>
        <row r="484">
          <cell r="F484">
            <v>2543.2364822500003</v>
          </cell>
          <cell r="G484">
            <v>8587.5</v>
          </cell>
        </row>
        <row r="485">
          <cell r="F485">
            <v>3646.747903</v>
          </cell>
          <cell r="G485">
            <v>10537.5</v>
          </cell>
        </row>
        <row r="486">
          <cell r="F486">
            <v>3556.7550567500002</v>
          </cell>
          <cell r="G486">
            <v>9408.75</v>
          </cell>
        </row>
        <row r="487">
          <cell r="F487">
            <v>3934.5450882499999</v>
          </cell>
          <cell r="G487">
            <v>9348.75</v>
          </cell>
        </row>
        <row r="488">
          <cell r="F488">
            <v>6390.6305592500003</v>
          </cell>
          <cell r="G488">
            <v>7875</v>
          </cell>
        </row>
        <row r="489">
          <cell r="F489">
            <v>5169.5409570000002</v>
          </cell>
          <cell r="G489">
            <v>10800</v>
          </cell>
        </row>
        <row r="490">
          <cell r="F490">
            <v>5356.7372794999992</v>
          </cell>
          <cell r="G490">
            <v>7533.75</v>
          </cell>
        </row>
        <row r="491">
          <cell r="F491">
            <v>6703.6760837499996</v>
          </cell>
          <cell r="G491">
            <v>11175</v>
          </cell>
        </row>
        <row r="492">
          <cell r="F492">
            <v>479.18338324999996</v>
          </cell>
          <cell r="G492">
            <v>3825</v>
          </cell>
        </row>
        <row r="493">
          <cell r="F493">
            <v>479.18338324999996</v>
          </cell>
          <cell r="G493">
            <v>13462.5</v>
          </cell>
        </row>
        <row r="494">
          <cell r="F494">
            <v>479.18338324999996</v>
          </cell>
          <cell r="G494">
            <v>5700</v>
          </cell>
        </row>
        <row r="495">
          <cell r="F495">
            <v>532.04404824999995</v>
          </cell>
          <cell r="G495">
            <v>2853.75</v>
          </cell>
        </row>
        <row r="496">
          <cell r="F496">
            <v>532.04404824999995</v>
          </cell>
          <cell r="G496">
            <v>13462.5</v>
          </cell>
        </row>
        <row r="497">
          <cell r="F497">
            <v>532.04404824999995</v>
          </cell>
          <cell r="G497">
            <v>6225</v>
          </cell>
        </row>
        <row r="498">
          <cell r="F498">
            <v>574.95890024999994</v>
          </cell>
          <cell r="G498">
            <v>14775</v>
          </cell>
        </row>
        <row r="499">
          <cell r="F499">
            <v>453.74922075000001</v>
          </cell>
          <cell r="G499">
            <v>14775</v>
          </cell>
        </row>
        <row r="500">
          <cell r="F500">
            <v>634.16457224999999</v>
          </cell>
          <cell r="G500">
            <v>15262.5</v>
          </cell>
        </row>
        <row r="501">
          <cell r="F501">
            <v>969.48285525000006</v>
          </cell>
          <cell r="G501">
            <v>15562.5</v>
          </cell>
        </row>
        <row r="502">
          <cell r="F502">
            <v>301.21524300000004</v>
          </cell>
          <cell r="G502">
            <v>15562.5</v>
          </cell>
        </row>
        <row r="503">
          <cell r="F503">
            <v>586.53669250000007</v>
          </cell>
          <cell r="G503">
            <v>8010</v>
          </cell>
        </row>
        <row r="504">
          <cell r="F504">
            <v>199.50814250000002</v>
          </cell>
          <cell r="G504">
            <v>6945</v>
          </cell>
        </row>
        <row r="505">
          <cell r="F505">
            <v>162.56994</v>
          </cell>
          <cell r="G505">
            <v>15562.5</v>
          </cell>
        </row>
        <row r="506">
          <cell r="F506">
            <v>1035.7955400000001</v>
          </cell>
          <cell r="G506">
            <v>15562.5</v>
          </cell>
        </row>
        <row r="507">
          <cell r="F507">
            <v>467.37638999999996</v>
          </cell>
          <cell r="G507">
            <v>13912.5</v>
          </cell>
        </row>
        <row r="508">
          <cell r="F508">
            <v>357.09689250000002</v>
          </cell>
          <cell r="G508">
            <v>14737.5</v>
          </cell>
        </row>
        <row r="509">
          <cell r="F509">
            <v>6764.2861400000002</v>
          </cell>
          <cell r="G509">
            <v>16387.5</v>
          </cell>
        </row>
        <row r="510">
          <cell r="F510">
            <v>7139.7650885000003</v>
          </cell>
          <cell r="G510">
            <v>18112.5</v>
          </cell>
        </row>
        <row r="511">
          <cell r="F511">
            <v>7146.5847149999991</v>
          </cell>
          <cell r="G511">
            <v>16950</v>
          </cell>
        </row>
        <row r="512">
          <cell r="F512">
            <v>8361.6470279999994</v>
          </cell>
          <cell r="G512">
            <v>17212.5</v>
          </cell>
        </row>
        <row r="513">
          <cell r="F513">
            <v>9657.7832065000002</v>
          </cell>
          <cell r="G513">
            <v>16387.5</v>
          </cell>
        </row>
        <row r="514">
          <cell r="F514">
            <v>11267.411569999997</v>
          </cell>
          <cell r="G514">
            <v>16387.5</v>
          </cell>
        </row>
        <row r="515">
          <cell r="F515">
            <v>7106.0640629999998</v>
          </cell>
          <cell r="G515">
            <v>16387.5</v>
          </cell>
        </row>
        <row r="516">
          <cell r="F516">
            <v>398.96767349999999</v>
          </cell>
          <cell r="G516">
            <v>7725</v>
          </cell>
        </row>
        <row r="517">
          <cell r="F517">
            <v>433.48838649999999</v>
          </cell>
          <cell r="G517">
            <v>13912.5</v>
          </cell>
        </row>
        <row r="518">
          <cell r="F518">
            <v>474.32194774999999</v>
          </cell>
          <cell r="G518">
            <v>13912.5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Foglio3 (2)"/>
      <sheetName val="Foglio2"/>
      <sheetName val="Foglio3"/>
    </sheetNames>
    <sheetDataSet>
      <sheetData sheetId="0"/>
      <sheetData sheetId="1"/>
      <sheetData sheetId="2">
        <row r="44">
          <cell r="B44" t="str">
            <v>EN DIN 3.7065</v>
          </cell>
        </row>
      </sheetData>
      <sheetData sheetId="3">
        <row r="3">
          <cell r="F3">
            <v>3539.1450999999997</v>
          </cell>
          <cell r="G3">
            <v>3457.4</v>
          </cell>
        </row>
        <row r="4">
          <cell r="F4">
            <v>3691.8744999999999</v>
          </cell>
          <cell r="G4">
            <v>4678.7000000000007</v>
          </cell>
        </row>
        <row r="5">
          <cell r="F5">
            <v>252.71769599999999</v>
          </cell>
          <cell r="G5">
            <v>3253.8500000000004</v>
          </cell>
        </row>
        <row r="6">
          <cell r="F6">
            <v>982.44899999999996</v>
          </cell>
          <cell r="G6">
            <v>4926.5</v>
          </cell>
        </row>
        <row r="7">
          <cell r="F7">
            <v>1763.5335799999998</v>
          </cell>
          <cell r="G7">
            <v>5870.5</v>
          </cell>
        </row>
        <row r="8">
          <cell r="F8">
            <v>240.41270374999999</v>
          </cell>
          <cell r="G8">
            <v>6321.85</v>
          </cell>
        </row>
        <row r="9">
          <cell r="F9">
            <v>240.41270374999999</v>
          </cell>
          <cell r="G9">
            <v>6873.5</v>
          </cell>
        </row>
        <row r="10">
          <cell r="F10">
            <v>240.41270374999999</v>
          </cell>
          <cell r="G10">
            <v>5849.85</v>
          </cell>
        </row>
        <row r="11">
          <cell r="F11">
            <v>633.06308999999999</v>
          </cell>
          <cell r="G11">
            <v>6401.5</v>
          </cell>
        </row>
        <row r="12">
          <cell r="F12">
            <v>395.8450125</v>
          </cell>
          <cell r="G12">
            <v>6195</v>
          </cell>
        </row>
        <row r="13">
          <cell r="F13">
            <v>396.7395775</v>
          </cell>
          <cell r="G13">
            <v>5003.2000000000007</v>
          </cell>
        </row>
        <row r="14">
          <cell r="F14">
            <v>396.7395775</v>
          </cell>
          <cell r="G14">
            <v>4967.8</v>
          </cell>
        </row>
        <row r="15">
          <cell r="F15">
            <v>396.29229499999997</v>
          </cell>
          <cell r="G15">
            <v>5596.1500000000005</v>
          </cell>
        </row>
        <row r="16">
          <cell r="F16">
            <v>547.08475499999997</v>
          </cell>
          <cell r="G16">
            <v>5369</v>
          </cell>
        </row>
        <row r="17">
          <cell r="F17">
            <v>547.08475499999997</v>
          </cell>
          <cell r="G17">
            <v>5702.35</v>
          </cell>
        </row>
        <row r="18">
          <cell r="F18">
            <v>547.08475499999997</v>
          </cell>
          <cell r="G18">
            <v>6091.75</v>
          </cell>
        </row>
        <row r="19">
          <cell r="F19">
            <v>1180.2294039999999</v>
          </cell>
          <cell r="G19">
            <v>5310</v>
          </cell>
        </row>
        <row r="20">
          <cell r="F20">
            <v>1298.2894675</v>
          </cell>
          <cell r="G20">
            <v>6065.2000000000007</v>
          </cell>
        </row>
        <row r="21">
          <cell r="F21">
            <v>1414.7059837500003</v>
          </cell>
          <cell r="G21">
            <v>5135.9500000000007</v>
          </cell>
        </row>
        <row r="22">
          <cell r="F22">
            <v>1414.7059837500003</v>
          </cell>
          <cell r="G22">
            <v>6844</v>
          </cell>
        </row>
        <row r="23">
          <cell r="F23">
            <v>2179.9486537500002</v>
          </cell>
          <cell r="G23">
            <v>5224.4500000000007</v>
          </cell>
        </row>
        <row r="24">
          <cell r="F24">
            <v>2177.7399925000004</v>
          </cell>
          <cell r="G24">
            <v>6029.8</v>
          </cell>
        </row>
        <row r="25">
          <cell r="F25">
            <v>1552.6084700000004</v>
          </cell>
          <cell r="G25">
            <v>4489.9000000000005</v>
          </cell>
        </row>
        <row r="26">
          <cell r="F26">
            <v>1552.6084700000004</v>
          </cell>
          <cell r="G26">
            <v>6003.25</v>
          </cell>
        </row>
        <row r="27">
          <cell r="F27">
            <v>1273.2793905000001</v>
          </cell>
          <cell r="G27">
            <v>6667</v>
          </cell>
        </row>
        <row r="28">
          <cell r="F28">
            <v>40.748752000000003</v>
          </cell>
          <cell r="G28">
            <v>2404.25</v>
          </cell>
        </row>
        <row r="29">
          <cell r="F29">
            <v>477.82499999999999</v>
          </cell>
          <cell r="G29">
            <v>6136</v>
          </cell>
        </row>
        <row r="30">
          <cell r="F30">
            <v>246.09160799999998</v>
          </cell>
          <cell r="G30">
            <v>4838</v>
          </cell>
        </row>
        <row r="31">
          <cell r="F31">
            <v>132.79174999999998</v>
          </cell>
          <cell r="G31">
            <v>5897.05</v>
          </cell>
        </row>
        <row r="32">
          <cell r="F32">
            <v>240.20723999999998</v>
          </cell>
          <cell r="G32">
            <v>5369</v>
          </cell>
        </row>
        <row r="33">
          <cell r="F33">
            <v>221.25712699999997</v>
          </cell>
          <cell r="G33">
            <v>5256.9000000000005</v>
          </cell>
        </row>
        <row r="34">
          <cell r="F34">
            <v>456.27000000000004</v>
          </cell>
          <cell r="G34">
            <v>5354.25</v>
          </cell>
        </row>
        <row r="35">
          <cell r="F35">
            <v>456.27000000000004</v>
          </cell>
          <cell r="G35">
            <v>5135.9500000000007</v>
          </cell>
        </row>
        <row r="36">
          <cell r="F36">
            <v>456.27000000000004</v>
          </cell>
          <cell r="G36">
            <v>5784.9500000000007</v>
          </cell>
        </row>
        <row r="37">
          <cell r="F37">
            <v>1013.3663624999999</v>
          </cell>
          <cell r="G37">
            <v>6224.5</v>
          </cell>
        </row>
        <row r="38">
          <cell r="F38">
            <v>2337.807225</v>
          </cell>
          <cell r="G38">
            <v>5012.05</v>
          </cell>
        </row>
        <row r="39">
          <cell r="F39">
            <v>424.68422125000001</v>
          </cell>
          <cell r="G39">
            <v>6519.5</v>
          </cell>
        </row>
        <row r="40">
          <cell r="F40">
            <v>109.324185</v>
          </cell>
          <cell r="G40">
            <v>5192</v>
          </cell>
        </row>
        <row r="41">
          <cell r="F41">
            <v>10.329104000000001</v>
          </cell>
          <cell r="G41">
            <v>1215.4000000000001</v>
          </cell>
        </row>
        <row r="42">
          <cell r="F42">
            <v>10.317678000000001</v>
          </cell>
          <cell r="G42">
            <v>1876.2</v>
          </cell>
        </row>
        <row r="43">
          <cell r="F43">
            <v>10.317678000000001</v>
          </cell>
          <cell r="G43">
            <v>2504.5500000000002</v>
          </cell>
        </row>
        <row r="44">
          <cell r="F44">
            <v>10.386234000000002</v>
          </cell>
          <cell r="G44">
            <v>3106.3500000000004</v>
          </cell>
        </row>
        <row r="45">
          <cell r="F45">
            <v>10.306252000000001</v>
          </cell>
          <cell r="G45">
            <v>1932.2500000000002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makeitfrom.com/material-properties/360.0-360.0-F-SG100B-A03600-Cast-Aluminu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1465"/>
  <sheetViews>
    <sheetView topLeftCell="A60" zoomScale="75" zoomScaleNormal="75" zoomScalePageLayoutView="40" workbookViewId="0">
      <selection activeCell="A78" sqref="A78:XFD78"/>
    </sheetView>
  </sheetViews>
  <sheetFormatPr baseColWidth="10" defaultColWidth="11" defaultRowHeight="16" x14ac:dyDescent="0.2"/>
  <cols>
    <col min="1" max="1" width="11" style="14"/>
    <col min="2" max="2" width="49.83203125" style="14" customWidth="1"/>
    <col min="3" max="3" width="82.1640625" style="14" customWidth="1"/>
    <col min="4" max="4" width="94.1640625" style="14" customWidth="1"/>
    <col min="5" max="25" width="11" style="14"/>
    <col min="26" max="26" width="21.6640625" style="14" customWidth="1"/>
    <col min="27" max="27" width="32.83203125" style="14" customWidth="1"/>
    <col min="28" max="28" width="17.33203125" style="14" customWidth="1"/>
    <col min="29" max="29" width="15" style="14" customWidth="1"/>
    <col min="30" max="30" width="16.33203125" style="14" customWidth="1"/>
    <col min="31" max="31" width="11" style="14"/>
    <col min="32" max="32" width="22.33203125" style="14" customWidth="1"/>
    <col min="33" max="33" width="24.83203125" style="14" customWidth="1"/>
    <col min="34" max="34" width="50.6640625" style="14" customWidth="1"/>
    <col min="35" max="35" width="45.83203125" style="14" customWidth="1"/>
    <col min="36" max="36" width="31" style="14" customWidth="1"/>
    <col min="37" max="37" width="51.5" style="14" customWidth="1"/>
    <col min="38" max="38" width="51.6640625" style="14" customWidth="1"/>
    <col min="39" max="39" width="45.83203125" style="14" customWidth="1"/>
    <col min="40" max="40" width="18.83203125" style="14" customWidth="1"/>
    <col min="41" max="41" width="21.1640625" style="14" customWidth="1"/>
    <col min="42" max="42" width="33.1640625" style="14" customWidth="1"/>
    <col min="43" max="43" width="27.5" style="14" customWidth="1"/>
    <col min="44" max="45" width="34.1640625" style="14" customWidth="1"/>
    <col min="46" max="46" width="32" style="14" customWidth="1"/>
    <col min="47" max="47" width="31" style="14" customWidth="1"/>
    <col min="48" max="16384" width="11" style="14"/>
  </cols>
  <sheetData>
    <row r="1" spans="1:47" s="2" customFormat="1" ht="28" x14ac:dyDescent="0.35">
      <c r="C1" s="3"/>
      <c r="D1" s="3"/>
      <c r="E1" s="3"/>
      <c r="F1" s="3"/>
      <c r="G1" s="3"/>
      <c r="H1" s="3"/>
      <c r="I1" s="3"/>
      <c r="J1" s="3"/>
      <c r="K1" s="3"/>
      <c r="L1" s="4" t="s">
        <v>26</v>
      </c>
      <c r="M1" s="3"/>
      <c r="N1" s="4"/>
      <c r="O1" s="3"/>
      <c r="P1" s="3"/>
      <c r="Q1" s="4"/>
      <c r="R1" s="3"/>
      <c r="S1" s="3"/>
      <c r="T1" s="3"/>
      <c r="U1" s="3"/>
      <c r="V1" s="3"/>
      <c r="W1" s="30"/>
      <c r="X1" s="3"/>
      <c r="Y1" s="4"/>
      <c r="Z1" s="4"/>
      <c r="AA1" s="4" t="s">
        <v>27</v>
      </c>
      <c r="AB1" s="4" t="s">
        <v>28</v>
      </c>
      <c r="AC1" s="3"/>
      <c r="AD1" s="3"/>
      <c r="AE1" s="3"/>
      <c r="AF1" s="3"/>
      <c r="AG1" s="3"/>
      <c r="AH1" s="3"/>
      <c r="AI1" s="3"/>
      <c r="AJ1" s="4" t="s">
        <v>29</v>
      </c>
      <c r="AK1" s="3"/>
      <c r="AL1" s="3"/>
      <c r="AM1" s="3"/>
      <c r="AN1" s="3"/>
      <c r="AO1" s="3"/>
      <c r="AP1" s="4" t="s">
        <v>21</v>
      </c>
      <c r="AQ1" s="3"/>
      <c r="AR1" s="3"/>
      <c r="AS1" s="3"/>
      <c r="AT1" s="3"/>
    </row>
    <row r="2" spans="1:47" s="2" customFormat="1" ht="28" x14ac:dyDescent="0.35">
      <c r="B2" s="62" t="s">
        <v>1313</v>
      </c>
      <c r="C2" s="62"/>
      <c r="D2" s="5" t="s">
        <v>0</v>
      </c>
      <c r="E2" s="6" t="s">
        <v>63</v>
      </c>
      <c r="F2" s="6" t="s">
        <v>5</v>
      </c>
      <c r="G2" s="18" t="s">
        <v>325</v>
      </c>
      <c r="H2" s="18" t="s">
        <v>1516</v>
      </c>
      <c r="I2" s="18" t="s">
        <v>1829</v>
      </c>
      <c r="J2" s="18" t="s">
        <v>3</v>
      </c>
      <c r="K2" s="6" t="s">
        <v>31</v>
      </c>
      <c r="L2" s="6" t="s">
        <v>1</v>
      </c>
      <c r="M2" s="6" t="s">
        <v>498</v>
      </c>
      <c r="N2" s="6" t="s">
        <v>720</v>
      </c>
      <c r="O2" s="18" t="s">
        <v>38</v>
      </c>
      <c r="P2" s="18" t="s">
        <v>4</v>
      </c>
      <c r="Q2" s="18" t="s">
        <v>2</v>
      </c>
      <c r="R2" s="6" t="s">
        <v>374</v>
      </c>
      <c r="S2" s="6" t="s">
        <v>8</v>
      </c>
      <c r="T2" s="18" t="s">
        <v>6</v>
      </c>
      <c r="U2" s="6" t="s">
        <v>85</v>
      </c>
      <c r="V2" s="6" t="s">
        <v>7</v>
      </c>
      <c r="W2" s="18" t="s">
        <v>34</v>
      </c>
      <c r="X2" s="6" t="s">
        <v>43</v>
      </c>
      <c r="Y2" s="6" t="s">
        <v>684</v>
      </c>
      <c r="Z2" s="7" t="s">
        <v>1833</v>
      </c>
      <c r="AA2" s="5" t="s">
        <v>9</v>
      </c>
      <c r="AB2" s="8" t="s">
        <v>10</v>
      </c>
      <c r="AC2" s="8" t="s">
        <v>11</v>
      </c>
      <c r="AD2" s="8" t="s">
        <v>12</v>
      </c>
      <c r="AE2" s="8" t="s">
        <v>13</v>
      </c>
      <c r="AF2" s="8" t="s">
        <v>14</v>
      </c>
      <c r="AG2" s="8" t="s">
        <v>1423</v>
      </c>
      <c r="AH2" s="8" t="s">
        <v>15</v>
      </c>
      <c r="AI2" s="8" t="s">
        <v>30</v>
      </c>
      <c r="AJ2" s="9" t="s">
        <v>16</v>
      </c>
      <c r="AK2" s="9" t="s">
        <v>17</v>
      </c>
      <c r="AL2" s="9" t="s">
        <v>18</v>
      </c>
      <c r="AM2" s="9" t="s">
        <v>19</v>
      </c>
      <c r="AN2" s="9" t="s">
        <v>20</v>
      </c>
      <c r="AO2" s="9" t="s">
        <v>95</v>
      </c>
      <c r="AP2" s="10" t="s">
        <v>24</v>
      </c>
      <c r="AQ2" s="10" t="s">
        <v>23</v>
      </c>
      <c r="AR2" s="10" t="s">
        <v>22</v>
      </c>
      <c r="AS2" s="10" t="s">
        <v>25</v>
      </c>
      <c r="AT2" s="10" t="s">
        <v>35</v>
      </c>
      <c r="AU2" s="11"/>
    </row>
    <row r="3" spans="1:47" s="2" customFormat="1" ht="28" x14ac:dyDescent="0.35">
      <c r="B3" s="12" t="s">
        <v>1312</v>
      </c>
      <c r="C3" s="19" t="s">
        <v>1289</v>
      </c>
      <c r="D3" s="5"/>
      <c r="E3" s="6"/>
      <c r="F3" s="6"/>
      <c r="G3" s="18"/>
      <c r="H3" s="18"/>
      <c r="I3" s="18"/>
      <c r="J3" s="18"/>
      <c r="K3" s="6"/>
      <c r="L3" s="6"/>
      <c r="M3" s="6"/>
      <c r="N3" s="6"/>
      <c r="O3" s="18"/>
      <c r="P3" s="18"/>
      <c r="Q3" s="6"/>
      <c r="R3" s="6"/>
      <c r="S3" s="6"/>
      <c r="T3" s="18"/>
      <c r="U3" s="6"/>
      <c r="V3" s="6"/>
      <c r="W3" s="18"/>
      <c r="X3" s="6"/>
      <c r="Y3" s="6"/>
      <c r="Z3" s="7"/>
      <c r="AA3" s="5"/>
      <c r="AB3" s="8"/>
      <c r="AC3" s="8"/>
      <c r="AD3" s="8"/>
      <c r="AE3" s="8"/>
      <c r="AF3" s="8"/>
      <c r="AG3" s="8"/>
      <c r="AH3" s="8"/>
      <c r="AI3" s="8"/>
      <c r="AJ3" s="9"/>
      <c r="AK3" s="9"/>
      <c r="AL3" s="9"/>
      <c r="AM3" s="9"/>
      <c r="AN3" s="9"/>
      <c r="AO3" s="9"/>
      <c r="AP3" s="10"/>
      <c r="AQ3" s="10"/>
      <c r="AR3" s="10"/>
      <c r="AS3" s="10"/>
      <c r="AT3" s="10"/>
      <c r="AU3" s="11"/>
    </row>
    <row r="4" spans="1:47" s="13" customFormat="1" ht="18" customHeight="1" x14ac:dyDescent="0.2">
      <c r="A4" s="13">
        <v>1</v>
      </c>
      <c r="B4" s="26"/>
      <c r="C4" s="27" t="s">
        <v>36</v>
      </c>
      <c r="D4" s="1" t="s">
        <v>294</v>
      </c>
      <c r="E4" s="1" t="s">
        <v>32</v>
      </c>
      <c r="F4" s="1" t="s">
        <v>37</v>
      </c>
      <c r="G4" s="23" t="s">
        <v>32</v>
      </c>
      <c r="H4" s="23" t="s">
        <v>32</v>
      </c>
      <c r="I4" s="23" t="s">
        <v>32</v>
      </c>
      <c r="J4" s="23" t="s">
        <v>32</v>
      </c>
      <c r="K4" s="22" t="s">
        <v>83</v>
      </c>
      <c r="L4" s="22" t="s">
        <v>33</v>
      </c>
      <c r="M4" s="22" t="s">
        <v>32</v>
      </c>
      <c r="N4" s="22" t="s">
        <v>32</v>
      </c>
      <c r="O4" s="23" t="s">
        <v>39</v>
      </c>
      <c r="P4" s="23" t="s">
        <v>40</v>
      </c>
      <c r="Q4" s="1" t="s">
        <v>40</v>
      </c>
      <c r="R4" s="1" t="s">
        <v>32</v>
      </c>
      <c r="S4" s="1" t="s">
        <v>32</v>
      </c>
      <c r="T4" s="20" t="s">
        <v>41</v>
      </c>
      <c r="U4" s="1" t="s">
        <v>32</v>
      </c>
      <c r="V4" s="1" t="s">
        <v>42</v>
      </c>
      <c r="W4" s="21" t="s">
        <v>32</v>
      </c>
      <c r="X4" s="1" t="s">
        <v>42</v>
      </c>
      <c r="Y4" s="1" t="s">
        <v>32</v>
      </c>
      <c r="Z4" s="1">
        <v>3.4</v>
      </c>
      <c r="AA4" s="1" t="s">
        <v>44</v>
      </c>
      <c r="AB4" s="1" t="s">
        <v>45</v>
      </c>
      <c r="AC4" s="1" t="s">
        <v>46</v>
      </c>
      <c r="AD4" s="1" t="s">
        <v>47</v>
      </c>
      <c r="AE4" s="1" t="s">
        <v>48</v>
      </c>
      <c r="AF4" s="1" t="s">
        <v>49</v>
      </c>
      <c r="AG4" s="1">
        <v>90</v>
      </c>
      <c r="AH4" s="1" t="s">
        <v>50</v>
      </c>
      <c r="AI4" s="1" t="s">
        <v>51</v>
      </c>
      <c r="AJ4" s="1" t="s">
        <v>52</v>
      </c>
      <c r="AK4" s="1" t="s">
        <v>53</v>
      </c>
      <c r="AL4" s="1">
        <v>-273</v>
      </c>
      <c r="AM4" s="1" t="s">
        <v>54</v>
      </c>
      <c r="AN4" s="1" t="s">
        <v>55</v>
      </c>
      <c r="AO4" s="1" t="s">
        <v>56</v>
      </c>
      <c r="AP4" s="1" t="s">
        <v>57</v>
      </c>
      <c r="AQ4" s="1" t="s">
        <v>57</v>
      </c>
      <c r="AR4" s="1" t="s">
        <v>57</v>
      </c>
      <c r="AS4" s="1" t="s">
        <v>57</v>
      </c>
      <c r="AT4" s="1" t="s">
        <v>113</v>
      </c>
    </row>
    <row r="5" spans="1:47" s="13" customFormat="1" ht="18" customHeight="1" x14ac:dyDescent="0.2">
      <c r="A5" s="13">
        <f>1+A4</f>
        <v>2</v>
      </c>
      <c r="B5" s="26"/>
      <c r="C5" s="27" t="s">
        <v>58</v>
      </c>
      <c r="D5" s="22" t="s">
        <v>1414</v>
      </c>
      <c r="E5" s="22" t="s">
        <v>64</v>
      </c>
      <c r="F5" s="22" t="s">
        <v>61</v>
      </c>
      <c r="G5" s="23" t="s">
        <v>32</v>
      </c>
      <c r="H5" s="23" t="s">
        <v>32</v>
      </c>
      <c r="I5" s="23" t="s">
        <v>32</v>
      </c>
      <c r="J5" s="23" t="s">
        <v>32</v>
      </c>
      <c r="K5" s="22" t="s">
        <v>83</v>
      </c>
      <c r="L5" s="22" t="s">
        <v>59</v>
      </c>
      <c r="M5" s="22" t="s">
        <v>32</v>
      </c>
      <c r="N5" s="22" t="s">
        <v>32</v>
      </c>
      <c r="O5" s="23" t="s">
        <v>62</v>
      </c>
      <c r="P5" s="23" t="s">
        <v>60</v>
      </c>
      <c r="Q5" s="22" t="s">
        <v>32</v>
      </c>
      <c r="R5" s="22" t="s">
        <v>32</v>
      </c>
      <c r="S5" s="22" t="s">
        <v>32</v>
      </c>
      <c r="T5" s="23" t="s">
        <v>39</v>
      </c>
      <c r="U5" s="22" t="s">
        <v>32</v>
      </c>
      <c r="V5" s="22" t="s">
        <v>62</v>
      </c>
      <c r="W5" s="23" t="s">
        <v>32</v>
      </c>
      <c r="X5" s="22" t="s">
        <v>32</v>
      </c>
      <c r="Y5" s="22" t="s">
        <v>32</v>
      </c>
      <c r="Z5" s="22">
        <v>1.55</v>
      </c>
      <c r="AA5" s="22" t="s">
        <v>65</v>
      </c>
      <c r="AB5" s="1" t="s">
        <v>66</v>
      </c>
      <c r="AC5" s="1" t="s">
        <v>67</v>
      </c>
      <c r="AD5" s="1" t="s">
        <v>68</v>
      </c>
      <c r="AE5" s="1" t="s">
        <v>69</v>
      </c>
      <c r="AF5" s="1" t="s">
        <v>70</v>
      </c>
      <c r="AG5" s="1" t="s">
        <v>1424</v>
      </c>
      <c r="AH5" s="1" t="s">
        <v>71</v>
      </c>
      <c r="AI5" s="1" t="s">
        <v>72</v>
      </c>
      <c r="AJ5" s="1" t="s">
        <v>73</v>
      </c>
      <c r="AK5" s="1" t="s">
        <v>74</v>
      </c>
      <c r="AL5" s="1">
        <v>-273</v>
      </c>
      <c r="AM5" s="1" t="s">
        <v>75</v>
      </c>
      <c r="AN5" s="1" t="s">
        <v>76</v>
      </c>
      <c r="AO5" s="1" t="s">
        <v>77</v>
      </c>
      <c r="AP5" s="1" t="s">
        <v>57</v>
      </c>
      <c r="AQ5" s="1" t="s">
        <v>57</v>
      </c>
      <c r="AR5" s="1" t="s">
        <v>57</v>
      </c>
      <c r="AS5" s="1" t="s">
        <v>57</v>
      </c>
      <c r="AT5" s="1" t="s">
        <v>78</v>
      </c>
      <c r="AU5" s="1"/>
    </row>
    <row r="6" spans="1:47" ht="18" customHeight="1" x14ac:dyDescent="0.2">
      <c r="A6" s="13">
        <f t="shared" ref="A6:A69" si="0">1+A5</f>
        <v>3</v>
      </c>
      <c r="B6" s="28"/>
      <c r="C6" s="27" t="s">
        <v>79</v>
      </c>
      <c r="D6" s="22" t="s">
        <v>1415</v>
      </c>
      <c r="E6" s="22" t="s">
        <v>32</v>
      </c>
      <c r="F6" s="22" t="s">
        <v>81</v>
      </c>
      <c r="G6" s="23" t="s">
        <v>32</v>
      </c>
      <c r="H6" s="23" t="s">
        <v>32</v>
      </c>
      <c r="I6" s="23" t="s">
        <v>32</v>
      </c>
      <c r="J6" s="23" t="s">
        <v>32</v>
      </c>
      <c r="K6" s="22" t="s">
        <v>84</v>
      </c>
      <c r="L6" s="22" t="s">
        <v>59</v>
      </c>
      <c r="M6" s="22" t="s">
        <v>32</v>
      </c>
      <c r="N6" s="22" t="s">
        <v>32</v>
      </c>
      <c r="O6" s="23" t="s">
        <v>80</v>
      </c>
      <c r="P6" s="23" t="s">
        <v>80</v>
      </c>
      <c r="Q6" s="22" t="s">
        <v>39</v>
      </c>
      <c r="R6" s="22" t="s">
        <v>32</v>
      </c>
      <c r="S6" s="22" t="s">
        <v>32</v>
      </c>
      <c r="T6" s="23" t="s">
        <v>39</v>
      </c>
      <c r="U6" s="22" t="s">
        <v>39</v>
      </c>
      <c r="V6" s="22" t="s">
        <v>82</v>
      </c>
      <c r="W6" s="23" t="s">
        <v>32</v>
      </c>
      <c r="X6" s="22" t="s">
        <v>59</v>
      </c>
      <c r="Y6" s="22" t="s">
        <v>32</v>
      </c>
      <c r="Z6" s="22">
        <v>1.05</v>
      </c>
      <c r="AA6" s="22" t="s">
        <v>44</v>
      </c>
      <c r="AB6" s="1" t="s">
        <v>86</v>
      </c>
      <c r="AC6" s="1" t="s">
        <v>87</v>
      </c>
      <c r="AD6" s="1" t="s">
        <v>88</v>
      </c>
      <c r="AE6" s="1" t="s">
        <v>89</v>
      </c>
      <c r="AF6" s="1" t="s">
        <v>90</v>
      </c>
      <c r="AG6" s="15" t="s">
        <v>1425</v>
      </c>
      <c r="AH6" s="1" t="s">
        <v>91</v>
      </c>
      <c r="AI6" s="1" t="s">
        <v>92</v>
      </c>
      <c r="AJ6" s="1" t="s">
        <v>73</v>
      </c>
      <c r="AK6" s="1" t="s">
        <v>74</v>
      </c>
      <c r="AL6" s="1">
        <v>-273</v>
      </c>
      <c r="AM6" s="1" t="s">
        <v>93</v>
      </c>
      <c r="AN6" s="1" t="s">
        <v>94</v>
      </c>
      <c r="AO6" s="1" t="s">
        <v>96</v>
      </c>
      <c r="AP6" s="1" t="s">
        <v>57</v>
      </c>
      <c r="AQ6" s="1" t="s">
        <v>57</v>
      </c>
      <c r="AR6" s="1" t="s">
        <v>57</v>
      </c>
      <c r="AS6" s="1" t="s">
        <v>57</v>
      </c>
      <c r="AT6" s="1" t="s">
        <v>78</v>
      </c>
      <c r="AU6" s="1"/>
    </row>
    <row r="7" spans="1:47" ht="18" customHeight="1" x14ac:dyDescent="0.2">
      <c r="A7" s="13">
        <f t="shared" si="0"/>
        <v>4</v>
      </c>
      <c r="B7" s="29" t="s">
        <v>1314</v>
      </c>
      <c r="C7" s="27" t="s">
        <v>1317</v>
      </c>
      <c r="D7" s="22" t="s">
        <v>1416</v>
      </c>
      <c r="E7" s="22" t="s">
        <v>32</v>
      </c>
      <c r="F7" s="22" t="s">
        <v>99</v>
      </c>
      <c r="G7" s="23" t="s">
        <v>32</v>
      </c>
      <c r="H7" s="23" t="s">
        <v>32</v>
      </c>
      <c r="I7" s="23" t="s">
        <v>32</v>
      </c>
      <c r="J7" s="23" t="s">
        <v>32</v>
      </c>
      <c r="K7" s="22" t="s">
        <v>101</v>
      </c>
      <c r="L7" s="22" t="s">
        <v>97</v>
      </c>
      <c r="M7" s="22" t="s">
        <v>32</v>
      </c>
      <c r="N7" s="22" t="s">
        <v>32</v>
      </c>
      <c r="O7" s="23" t="s">
        <v>59</v>
      </c>
      <c r="P7" s="23" t="s">
        <v>98</v>
      </c>
      <c r="Q7" s="22" t="s">
        <v>40</v>
      </c>
      <c r="R7" s="22" t="s">
        <v>32</v>
      </c>
      <c r="S7" s="22" t="s">
        <v>32</v>
      </c>
      <c r="T7" s="23" t="s">
        <v>100</v>
      </c>
      <c r="U7" s="22" t="s">
        <v>32</v>
      </c>
      <c r="V7" s="22" t="s">
        <v>42</v>
      </c>
      <c r="W7" s="23" t="s">
        <v>32</v>
      </c>
      <c r="X7" s="22" t="s">
        <v>97</v>
      </c>
      <c r="Y7" s="22" t="s">
        <v>32</v>
      </c>
      <c r="Z7" s="22">
        <v>7.1</v>
      </c>
      <c r="AA7" s="22" t="s">
        <v>44</v>
      </c>
      <c r="AB7" s="1" t="s">
        <v>102</v>
      </c>
      <c r="AC7" s="1" t="s">
        <v>103</v>
      </c>
      <c r="AD7" s="1" t="s">
        <v>104</v>
      </c>
      <c r="AE7" s="1" t="s">
        <v>105</v>
      </c>
      <c r="AF7" s="1" t="s">
        <v>106</v>
      </c>
      <c r="AG7" s="15" t="s">
        <v>1426</v>
      </c>
      <c r="AH7" s="1" t="s">
        <v>107</v>
      </c>
      <c r="AI7" s="1" t="s">
        <v>108</v>
      </c>
      <c r="AJ7" s="1" t="s">
        <v>109</v>
      </c>
      <c r="AK7" s="1" t="s">
        <v>110</v>
      </c>
      <c r="AL7" s="1">
        <v>-273</v>
      </c>
      <c r="AM7" s="1" t="s">
        <v>111</v>
      </c>
      <c r="AN7" s="1" t="s">
        <v>55</v>
      </c>
      <c r="AO7" s="1" t="s">
        <v>112</v>
      </c>
      <c r="AP7" s="1" t="s">
        <v>57</v>
      </c>
      <c r="AQ7" s="1" t="s">
        <v>57</v>
      </c>
      <c r="AR7" s="1" t="s">
        <v>57</v>
      </c>
      <c r="AS7" s="1" t="s">
        <v>57</v>
      </c>
      <c r="AT7" s="1" t="s">
        <v>113</v>
      </c>
      <c r="AU7" s="1"/>
    </row>
    <row r="8" spans="1:47" ht="18" customHeight="1" x14ac:dyDescent="0.2">
      <c r="A8" s="13">
        <f t="shared" si="0"/>
        <v>5</v>
      </c>
      <c r="B8" s="29" t="s">
        <v>1314</v>
      </c>
      <c r="C8" s="27" t="s">
        <v>1317</v>
      </c>
      <c r="D8" s="22" t="s">
        <v>310</v>
      </c>
      <c r="E8" s="22" t="s">
        <v>32</v>
      </c>
      <c r="F8" s="22" t="s">
        <v>99</v>
      </c>
      <c r="G8" s="23" t="s">
        <v>32</v>
      </c>
      <c r="H8" s="23" t="s">
        <v>32</v>
      </c>
      <c r="I8" s="23" t="s">
        <v>32</v>
      </c>
      <c r="J8" s="23" t="s">
        <v>32</v>
      </c>
      <c r="K8" s="22" t="s">
        <v>101</v>
      </c>
      <c r="L8" s="22" t="s">
        <v>97</v>
      </c>
      <c r="M8" s="22" t="s">
        <v>32</v>
      </c>
      <c r="N8" s="22" t="s">
        <v>32</v>
      </c>
      <c r="O8" s="23" t="s">
        <v>59</v>
      </c>
      <c r="P8" s="23" t="s">
        <v>98</v>
      </c>
      <c r="Q8" s="22" t="s">
        <v>40</v>
      </c>
      <c r="R8" s="22" t="s">
        <v>32</v>
      </c>
      <c r="S8" s="22" t="s">
        <v>32</v>
      </c>
      <c r="T8" s="23" t="s">
        <v>100</v>
      </c>
      <c r="U8" s="22" t="s">
        <v>32</v>
      </c>
      <c r="V8" s="22" t="s">
        <v>42</v>
      </c>
      <c r="W8" s="23" t="s">
        <v>32</v>
      </c>
      <c r="X8" s="22" t="s">
        <v>97</v>
      </c>
      <c r="Y8" s="22" t="s">
        <v>32</v>
      </c>
      <c r="Z8" s="22">
        <v>7.1</v>
      </c>
      <c r="AA8" s="22" t="s">
        <v>44</v>
      </c>
      <c r="AB8" s="1" t="s">
        <v>102</v>
      </c>
      <c r="AC8" s="1" t="s">
        <v>114</v>
      </c>
      <c r="AD8" s="1" t="s">
        <v>115</v>
      </c>
      <c r="AE8" s="1" t="s">
        <v>105</v>
      </c>
      <c r="AF8" s="1" t="s">
        <v>116</v>
      </c>
      <c r="AG8" s="15" t="s">
        <v>1427</v>
      </c>
      <c r="AH8" s="1" t="s">
        <v>50</v>
      </c>
      <c r="AI8" s="1" t="s">
        <v>108</v>
      </c>
      <c r="AJ8" s="1" t="s">
        <v>109</v>
      </c>
      <c r="AK8" s="1" t="s">
        <v>110</v>
      </c>
      <c r="AL8" s="1">
        <v>-273</v>
      </c>
      <c r="AM8" s="1" t="s">
        <v>111</v>
      </c>
      <c r="AN8" s="1" t="s">
        <v>55</v>
      </c>
      <c r="AO8" s="1" t="s">
        <v>112</v>
      </c>
      <c r="AP8" s="1" t="s">
        <v>57</v>
      </c>
      <c r="AQ8" s="1" t="s">
        <v>57</v>
      </c>
      <c r="AR8" s="1" t="s">
        <v>57</v>
      </c>
      <c r="AS8" s="1" t="s">
        <v>57</v>
      </c>
      <c r="AT8" s="1" t="s">
        <v>113</v>
      </c>
      <c r="AU8" s="1"/>
    </row>
    <row r="9" spans="1:47" ht="18" customHeight="1" x14ac:dyDescent="0.2">
      <c r="A9" s="13">
        <f t="shared" si="0"/>
        <v>6</v>
      </c>
      <c r="B9" s="29" t="s">
        <v>1314</v>
      </c>
      <c r="C9" s="27" t="s">
        <v>1318</v>
      </c>
      <c r="D9" s="22" t="s">
        <v>117</v>
      </c>
      <c r="E9" s="22" t="s">
        <v>32</v>
      </c>
      <c r="F9" s="22" t="s">
        <v>99</v>
      </c>
      <c r="G9" s="23" t="s">
        <v>32</v>
      </c>
      <c r="H9" s="23" t="s">
        <v>32</v>
      </c>
      <c r="I9" s="23" t="s">
        <v>32</v>
      </c>
      <c r="J9" s="23" t="s">
        <v>32</v>
      </c>
      <c r="K9" s="22" t="s">
        <v>101</v>
      </c>
      <c r="L9" s="22" t="s">
        <v>97</v>
      </c>
      <c r="M9" s="22" t="s">
        <v>32</v>
      </c>
      <c r="N9" s="22" t="s">
        <v>32</v>
      </c>
      <c r="O9" s="23" t="s">
        <v>59</v>
      </c>
      <c r="P9" s="23" t="s">
        <v>98</v>
      </c>
      <c r="Q9" s="22" t="s">
        <v>40</v>
      </c>
      <c r="R9" s="22" t="s">
        <v>32</v>
      </c>
      <c r="S9" s="22" t="s">
        <v>32</v>
      </c>
      <c r="T9" s="23" t="s">
        <v>100</v>
      </c>
      <c r="U9" s="22" t="s">
        <v>32</v>
      </c>
      <c r="V9" s="22" t="s">
        <v>42</v>
      </c>
      <c r="W9" s="23" t="s">
        <v>32</v>
      </c>
      <c r="X9" s="22" t="s">
        <v>97</v>
      </c>
      <c r="Y9" s="22" t="s">
        <v>32</v>
      </c>
      <c r="Z9" s="22">
        <v>7.1</v>
      </c>
      <c r="AA9" s="22" t="s">
        <v>44</v>
      </c>
      <c r="AB9" s="1" t="s">
        <v>102</v>
      </c>
      <c r="AC9" s="1" t="s">
        <v>118</v>
      </c>
      <c r="AD9" s="1" t="s">
        <v>119</v>
      </c>
      <c r="AE9" s="1" t="s">
        <v>105</v>
      </c>
      <c r="AF9" s="1" t="s">
        <v>120</v>
      </c>
      <c r="AG9" s="1">
        <v>110</v>
      </c>
      <c r="AH9" s="1" t="s">
        <v>121</v>
      </c>
      <c r="AI9" s="1" t="s">
        <v>108</v>
      </c>
      <c r="AJ9" s="1" t="s">
        <v>109</v>
      </c>
      <c r="AK9" s="1" t="s">
        <v>110</v>
      </c>
      <c r="AL9" s="1">
        <v>-273</v>
      </c>
      <c r="AM9" s="1" t="s">
        <v>111</v>
      </c>
      <c r="AN9" s="1" t="s">
        <v>55</v>
      </c>
      <c r="AO9" s="1" t="s">
        <v>112</v>
      </c>
      <c r="AP9" s="1" t="s">
        <v>57</v>
      </c>
      <c r="AQ9" s="1" t="s">
        <v>57</v>
      </c>
      <c r="AR9" s="1" t="s">
        <v>57</v>
      </c>
      <c r="AS9" s="1" t="s">
        <v>57</v>
      </c>
      <c r="AT9" s="1" t="s">
        <v>113</v>
      </c>
      <c r="AU9" s="1"/>
    </row>
    <row r="10" spans="1:47" ht="18" customHeight="1" x14ac:dyDescent="0.2">
      <c r="A10" s="13">
        <f t="shared" si="0"/>
        <v>7</v>
      </c>
      <c r="B10" s="28"/>
      <c r="C10" s="27" t="s">
        <v>201</v>
      </c>
      <c r="D10" s="22" t="s">
        <v>1417</v>
      </c>
      <c r="E10" s="22" t="s">
        <v>32</v>
      </c>
      <c r="F10" s="22" t="s">
        <v>122</v>
      </c>
      <c r="G10" s="23" t="s">
        <v>32</v>
      </c>
      <c r="H10" s="23" t="s">
        <v>32</v>
      </c>
      <c r="I10" s="23" t="s">
        <v>32</v>
      </c>
      <c r="J10" s="23" t="s">
        <v>32</v>
      </c>
      <c r="K10" s="22" t="s">
        <v>125</v>
      </c>
      <c r="L10" s="22" t="s">
        <v>33</v>
      </c>
      <c r="M10" s="22" t="s">
        <v>32</v>
      </c>
      <c r="N10" s="22" t="s">
        <v>32</v>
      </c>
      <c r="O10" s="23" t="s">
        <v>123</v>
      </c>
      <c r="P10" s="23" t="s">
        <v>98</v>
      </c>
      <c r="Q10" s="22" t="s">
        <v>98</v>
      </c>
      <c r="R10" s="22" t="s">
        <v>32</v>
      </c>
      <c r="S10" s="22" t="s">
        <v>32</v>
      </c>
      <c r="T10" s="23" t="s">
        <v>124</v>
      </c>
      <c r="U10" s="22" t="s">
        <v>32</v>
      </c>
      <c r="V10" s="22" t="s">
        <v>42</v>
      </c>
      <c r="W10" s="23" t="s">
        <v>32</v>
      </c>
      <c r="X10" s="22" t="s">
        <v>97</v>
      </c>
      <c r="Y10" s="22" t="s">
        <v>32</v>
      </c>
      <c r="Z10" s="22">
        <v>12.5</v>
      </c>
      <c r="AA10" s="22" t="s">
        <v>126</v>
      </c>
      <c r="AB10" s="1" t="s">
        <v>127</v>
      </c>
      <c r="AC10" s="1" t="s">
        <v>128</v>
      </c>
      <c r="AD10" s="1" t="s">
        <v>129</v>
      </c>
      <c r="AE10" s="1" t="s">
        <v>130</v>
      </c>
      <c r="AF10" s="1" t="s">
        <v>131</v>
      </c>
      <c r="AG10" s="1">
        <v>110</v>
      </c>
      <c r="AH10" s="1" t="s">
        <v>132</v>
      </c>
      <c r="AI10" s="1" t="s">
        <v>133</v>
      </c>
      <c r="AJ10" s="1" t="s">
        <v>134</v>
      </c>
      <c r="AK10" s="1" t="s">
        <v>74</v>
      </c>
      <c r="AL10" s="1">
        <v>-273</v>
      </c>
      <c r="AM10" s="1" t="s">
        <v>135</v>
      </c>
      <c r="AN10" s="1" t="s">
        <v>55</v>
      </c>
      <c r="AO10" s="1" t="s">
        <v>136</v>
      </c>
      <c r="AP10" s="1" t="s">
        <v>57</v>
      </c>
      <c r="AQ10" s="1" t="s">
        <v>57</v>
      </c>
      <c r="AR10" s="1" t="s">
        <v>57</v>
      </c>
      <c r="AS10" s="1" t="s">
        <v>57</v>
      </c>
      <c r="AT10" s="1" t="s">
        <v>137</v>
      </c>
      <c r="AU10" s="1"/>
    </row>
    <row r="11" spans="1:47" ht="18" customHeight="1" x14ac:dyDescent="0.2">
      <c r="A11" s="13">
        <f t="shared" si="0"/>
        <v>8</v>
      </c>
      <c r="B11" s="28"/>
      <c r="C11" s="27" t="s">
        <v>138</v>
      </c>
      <c r="D11" s="22" t="s">
        <v>294</v>
      </c>
      <c r="E11" s="22" t="s">
        <v>32</v>
      </c>
      <c r="F11" s="22" t="s">
        <v>139</v>
      </c>
      <c r="G11" s="23" t="s">
        <v>32</v>
      </c>
      <c r="H11" s="23" t="s">
        <v>32</v>
      </c>
      <c r="I11" s="23" t="s">
        <v>32</v>
      </c>
      <c r="J11" s="23" t="s">
        <v>32</v>
      </c>
      <c r="K11" s="22" t="s">
        <v>101</v>
      </c>
      <c r="L11" s="22" t="s">
        <v>97</v>
      </c>
      <c r="M11" s="22" t="s">
        <v>32</v>
      </c>
      <c r="N11" s="22" t="s">
        <v>32</v>
      </c>
      <c r="O11" s="23" t="s">
        <v>140</v>
      </c>
      <c r="P11" s="23" t="s">
        <v>98</v>
      </c>
      <c r="Q11" s="22" t="s">
        <v>98</v>
      </c>
      <c r="R11" s="22" t="s">
        <v>32</v>
      </c>
      <c r="S11" s="22" t="s">
        <v>32</v>
      </c>
      <c r="T11" s="23" t="s">
        <v>141</v>
      </c>
      <c r="U11" s="22" t="s">
        <v>32</v>
      </c>
      <c r="V11" s="22" t="s">
        <v>42</v>
      </c>
      <c r="W11" s="23" t="s">
        <v>32</v>
      </c>
      <c r="X11" s="22" t="s">
        <v>97</v>
      </c>
      <c r="Y11" s="22" t="s">
        <v>32</v>
      </c>
      <c r="Z11" s="22">
        <v>11</v>
      </c>
      <c r="AA11" s="22" t="s">
        <v>126</v>
      </c>
      <c r="AB11" s="1" t="s">
        <v>102</v>
      </c>
      <c r="AC11" s="1" t="s">
        <v>142</v>
      </c>
      <c r="AD11" s="1" t="s">
        <v>143</v>
      </c>
      <c r="AE11" s="1" t="s">
        <v>144</v>
      </c>
      <c r="AF11" s="1" t="s">
        <v>145</v>
      </c>
      <c r="AG11" s="15" t="s">
        <v>677</v>
      </c>
      <c r="AH11" s="1" t="s">
        <v>146</v>
      </c>
      <c r="AI11" s="1" t="s">
        <v>147</v>
      </c>
      <c r="AJ11" s="1" t="s">
        <v>148</v>
      </c>
      <c r="AK11" s="1" t="s">
        <v>74</v>
      </c>
      <c r="AL11" s="1">
        <v>-273</v>
      </c>
      <c r="AM11" s="1" t="s">
        <v>149</v>
      </c>
      <c r="AN11" s="1" t="s">
        <v>55</v>
      </c>
      <c r="AO11" s="1" t="s">
        <v>136</v>
      </c>
      <c r="AP11" s="1" t="s">
        <v>57</v>
      </c>
      <c r="AQ11" s="1" t="s">
        <v>57</v>
      </c>
      <c r="AR11" s="1" t="s">
        <v>57</v>
      </c>
      <c r="AS11" s="1" t="s">
        <v>57</v>
      </c>
      <c r="AT11" s="1" t="s">
        <v>137</v>
      </c>
      <c r="AU11" s="1"/>
    </row>
    <row r="12" spans="1:47" ht="18" customHeight="1" x14ac:dyDescent="0.2">
      <c r="A12" s="13">
        <f t="shared" si="0"/>
        <v>9</v>
      </c>
      <c r="B12" s="28"/>
      <c r="C12" s="27" t="s">
        <v>200</v>
      </c>
      <c r="D12" s="22" t="s">
        <v>1418</v>
      </c>
      <c r="E12" s="22" t="s">
        <v>32</v>
      </c>
      <c r="F12" s="22" t="s">
        <v>150</v>
      </c>
      <c r="G12" s="23" t="s">
        <v>32</v>
      </c>
      <c r="H12" s="23" t="s">
        <v>32</v>
      </c>
      <c r="I12" s="23" t="s">
        <v>32</v>
      </c>
      <c r="J12" s="23" t="s">
        <v>32</v>
      </c>
      <c r="K12" s="22" t="s">
        <v>123</v>
      </c>
      <c r="L12" s="22" t="s">
        <v>33</v>
      </c>
      <c r="M12" s="22" t="s">
        <v>32</v>
      </c>
      <c r="N12" s="22" t="s">
        <v>32</v>
      </c>
      <c r="O12" s="23" t="s">
        <v>151</v>
      </c>
      <c r="P12" s="23" t="s">
        <v>40</v>
      </c>
      <c r="Q12" s="22" t="s">
        <v>41</v>
      </c>
      <c r="R12" s="22" t="s">
        <v>32</v>
      </c>
      <c r="S12" s="22" t="s">
        <v>32</v>
      </c>
      <c r="T12" s="23" t="s">
        <v>152</v>
      </c>
      <c r="U12" s="22" t="s">
        <v>32</v>
      </c>
      <c r="V12" s="22" t="s">
        <v>42</v>
      </c>
      <c r="W12" s="23" t="s">
        <v>32</v>
      </c>
      <c r="X12" s="22" t="s">
        <v>40</v>
      </c>
      <c r="Y12" s="22" t="s">
        <v>32</v>
      </c>
      <c r="Z12" s="22">
        <v>14.65</v>
      </c>
      <c r="AA12" s="22" t="s">
        <v>153</v>
      </c>
      <c r="AB12" s="1" t="s">
        <v>102</v>
      </c>
      <c r="AC12" s="1" t="s">
        <v>154</v>
      </c>
      <c r="AD12" s="1" t="s">
        <v>155</v>
      </c>
      <c r="AE12" s="1" t="s">
        <v>156</v>
      </c>
      <c r="AF12" s="1" t="s">
        <v>145</v>
      </c>
      <c r="AG12" s="15" t="s">
        <v>972</v>
      </c>
      <c r="AH12" s="1" t="s">
        <v>157</v>
      </c>
      <c r="AI12" s="1" t="s">
        <v>158</v>
      </c>
      <c r="AJ12" s="1" t="s">
        <v>159</v>
      </c>
      <c r="AK12" s="1" t="s">
        <v>53</v>
      </c>
      <c r="AL12" s="1">
        <v>-273</v>
      </c>
      <c r="AM12" s="1" t="s">
        <v>160</v>
      </c>
      <c r="AN12" s="1" t="s">
        <v>55</v>
      </c>
      <c r="AO12" s="1" t="s">
        <v>161</v>
      </c>
      <c r="AP12" s="1" t="s">
        <v>57</v>
      </c>
      <c r="AQ12" s="1" t="s">
        <v>57</v>
      </c>
      <c r="AR12" s="1" t="s">
        <v>57</v>
      </c>
      <c r="AS12" s="1" t="s">
        <v>57</v>
      </c>
      <c r="AT12" s="1" t="s">
        <v>113</v>
      </c>
      <c r="AU12" s="1"/>
    </row>
    <row r="13" spans="1:47" ht="18" customHeight="1" x14ac:dyDescent="0.2">
      <c r="A13" s="13">
        <f t="shared" si="0"/>
        <v>10</v>
      </c>
      <c r="B13" s="28"/>
      <c r="C13" s="27" t="s">
        <v>200</v>
      </c>
      <c r="D13" s="22" t="s">
        <v>1419</v>
      </c>
      <c r="E13" s="22" t="s">
        <v>32</v>
      </c>
      <c r="F13" s="22" t="s">
        <v>150</v>
      </c>
      <c r="G13" s="23" t="s">
        <v>32</v>
      </c>
      <c r="H13" s="23" t="s">
        <v>32</v>
      </c>
      <c r="I13" s="23" t="s">
        <v>32</v>
      </c>
      <c r="J13" s="23" t="s">
        <v>32</v>
      </c>
      <c r="K13" s="22" t="s">
        <v>123</v>
      </c>
      <c r="L13" s="22" t="s">
        <v>33</v>
      </c>
      <c r="M13" s="22" t="s">
        <v>32</v>
      </c>
      <c r="N13" s="22" t="s">
        <v>32</v>
      </c>
      <c r="O13" s="23" t="s">
        <v>151</v>
      </c>
      <c r="P13" s="23" t="s">
        <v>40</v>
      </c>
      <c r="Q13" s="22" t="s">
        <v>41</v>
      </c>
      <c r="R13" s="22" t="s">
        <v>32</v>
      </c>
      <c r="S13" s="22" t="s">
        <v>32</v>
      </c>
      <c r="T13" s="23" t="s">
        <v>152</v>
      </c>
      <c r="U13" s="22" t="s">
        <v>32</v>
      </c>
      <c r="V13" s="22" t="s">
        <v>42</v>
      </c>
      <c r="W13" s="23" t="s">
        <v>32</v>
      </c>
      <c r="X13" s="22" t="s">
        <v>40</v>
      </c>
      <c r="Y13" s="22" t="s">
        <v>32</v>
      </c>
      <c r="Z13" s="22">
        <v>14.65</v>
      </c>
      <c r="AA13" s="22" t="s">
        <v>153</v>
      </c>
      <c r="AB13" s="1" t="s">
        <v>102</v>
      </c>
      <c r="AC13" s="1" t="s">
        <v>162</v>
      </c>
      <c r="AD13" s="1" t="s">
        <v>163</v>
      </c>
      <c r="AE13" s="1" t="s">
        <v>156</v>
      </c>
      <c r="AF13" s="1" t="s">
        <v>164</v>
      </c>
      <c r="AG13" s="15" t="s">
        <v>1428</v>
      </c>
      <c r="AH13" s="1" t="s">
        <v>165</v>
      </c>
      <c r="AI13" s="1" t="s">
        <v>158</v>
      </c>
      <c r="AJ13" s="1" t="s">
        <v>159</v>
      </c>
      <c r="AK13" s="1" t="s">
        <v>53</v>
      </c>
      <c r="AL13" s="1">
        <v>-273</v>
      </c>
      <c r="AM13" s="1" t="s">
        <v>160</v>
      </c>
      <c r="AN13" s="1" t="s">
        <v>55</v>
      </c>
      <c r="AO13" s="1" t="s">
        <v>161</v>
      </c>
      <c r="AP13" s="1" t="s">
        <v>57</v>
      </c>
      <c r="AQ13" s="1" t="s">
        <v>57</v>
      </c>
      <c r="AR13" s="1" t="s">
        <v>57</v>
      </c>
      <c r="AS13" s="1" t="s">
        <v>57</v>
      </c>
      <c r="AT13" s="1" t="s">
        <v>113</v>
      </c>
      <c r="AU13" s="1"/>
    </row>
    <row r="14" spans="1:47" ht="18" customHeight="1" x14ac:dyDescent="0.2">
      <c r="A14" s="13">
        <f t="shared" si="0"/>
        <v>11</v>
      </c>
      <c r="B14" s="28"/>
      <c r="C14" s="27" t="s">
        <v>166</v>
      </c>
      <c r="D14" s="22" t="s">
        <v>294</v>
      </c>
      <c r="E14" s="22" t="s">
        <v>32</v>
      </c>
      <c r="F14" s="22" t="s">
        <v>168</v>
      </c>
      <c r="G14" s="23" t="s">
        <v>32</v>
      </c>
      <c r="H14" s="23" t="s">
        <v>32</v>
      </c>
      <c r="I14" s="23" t="s">
        <v>32</v>
      </c>
      <c r="J14" s="23" t="s">
        <v>32</v>
      </c>
      <c r="K14" s="22" t="s">
        <v>171</v>
      </c>
      <c r="L14" s="22" t="s">
        <v>167</v>
      </c>
      <c r="M14" s="22" t="s">
        <v>32</v>
      </c>
      <c r="N14" s="22" t="s">
        <v>32</v>
      </c>
      <c r="O14" s="23" t="s">
        <v>169</v>
      </c>
      <c r="P14" s="23" t="s">
        <v>59</v>
      </c>
      <c r="Q14" s="22" t="s">
        <v>32</v>
      </c>
      <c r="R14" s="22" t="s">
        <v>32</v>
      </c>
      <c r="S14" s="22" t="s">
        <v>32</v>
      </c>
      <c r="T14" s="23" t="s">
        <v>170</v>
      </c>
      <c r="U14" s="22" t="s">
        <v>32</v>
      </c>
      <c r="V14" s="22" t="s">
        <v>167</v>
      </c>
      <c r="W14" s="23" t="s">
        <v>32</v>
      </c>
      <c r="X14" s="22" t="s">
        <v>167</v>
      </c>
      <c r="Y14" s="22" t="s">
        <v>32</v>
      </c>
      <c r="Z14" s="22">
        <v>10.1</v>
      </c>
      <c r="AA14" s="22" t="s">
        <v>65</v>
      </c>
      <c r="AB14" s="1" t="s">
        <v>172</v>
      </c>
      <c r="AC14" s="1" t="s">
        <v>173</v>
      </c>
      <c r="AD14" s="1" t="s">
        <v>174</v>
      </c>
      <c r="AE14" s="1" t="s">
        <v>41</v>
      </c>
      <c r="AF14" s="1" t="s">
        <v>175</v>
      </c>
      <c r="AG14" s="1" t="s">
        <v>32</v>
      </c>
      <c r="AH14" s="1" t="s">
        <v>176</v>
      </c>
      <c r="AI14" s="1" t="s">
        <v>177</v>
      </c>
      <c r="AJ14" s="1" t="s">
        <v>178</v>
      </c>
      <c r="AK14" s="1" t="s">
        <v>74</v>
      </c>
      <c r="AL14" s="1">
        <v>-273</v>
      </c>
      <c r="AM14" s="1" t="s">
        <v>179</v>
      </c>
      <c r="AN14" s="1" t="s">
        <v>180</v>
      </c>
      <c r="AO14" s="1" t="s">
        <v>181</v>
      </c>
      <c r="AP14" s="1" t="s">
        <v>57</v>
      </c>
      <c r="AQ14" s="1" t="s">
        <v>57</v>
      </c>
      <c r="AR14" s="1" t="s">
        <v>57</v>
      </c>
      <c r="AS14" s="1" t="s">
        <v>57</v>
      </c>
      <c r="AT14" s="1" t="s">
        <v>137</v>
      </c>
      <c r="AU14" s="1"/>
    </row>
    <row r="15" spans="1:47" ht="18" customHeight="1" x14ac:dyDescent="0.2">
      <c r="A15" s="13">
        <f t="shared" si="0"/>
        <v>12</v>
      </c>
      <c r="B15" s="29" t="s">
        <v>1315</v>
      </c>
      <c r="C15" s="27" t="s">
        <v>1319</v>
      </c>
      <c r="D15" s="22" t="s">
        <v>1416</v>
      </c>
      <c r="E15" s="22" t="s">
        <v>32</v>
      </c>
      <c r="F15" s="22" t="s">
        <v>183</v>
      </c>
      <c r="G15" s="23" t="s">
        <v>32</v>
      </c>
      <c r="H15" s="23" t="s">
        <v>32</v>
      </c>
      <c r="I15" s="23" t="s">
        <v>32</v>
      </c>
      <c r="J15" s="23" t="s">
        <v>42</v>
      </c>
      <c r="K15" s="22" t="s">
        <v>185</v>
      </c>
      <c r="L15" s="22" t="s">
        <v>182</v>
      </c>
      <c r="M15" s="22" t="s">
        <v>32</v>
      </c>
      <c r="N15" s="22" t="s">
        <v>32</v>
      </c>
      <c r="O15" s="23" t="s">
        <v>169</v>
      </c>
      <c r="P15" s="23" t="s">
        <v>98</v>
      </c>
      <c r="Q15" s="22" t="s">
        <v>32</v>
      </c>
      <c r="R15" s="22" t="s">
        <v>32</v>
      </c>
      <c r="S15" s="22" t="s">
        <v>32</v>
      </c>
      <c r="T15" s="23" t="s">
        <v>184</v>
      </c>
      <c r="U15" s="22" t="s">
        <v>32</v>
      </c>
      <c r="V15" s="22" t="s">
        <v>40</v>
      </c>
      <c r="W15" s="23" t="s">
        <v>32</v>
      </c>
      <c r="X15" s="22" t="s">
        <v>40</v>
      </c>
      <c r="Y15" s="22" t="s">
        <v>32</v>
      </c>
      <c r="Z15" s="22">
        <v>6.85</v>
      </c>
      <c r="AA15" s="22" t="s">
        <v>186</v>
      </c>
      <c r="AB15" s="1" t="s">
        <v>45</v>
      </c>
      <c r="AC15" s="1" t="s">
        <v>187</v>
      </c>
      <c r="AD15" s="1" t="s">
        <v>188</v>
      </c>
      <c r="AE15" s="1" t="s">
        <v>189</v>
      </c>
      <c r="AF15" s="1" t="s">
        <v>190</v>
      </c>
      <c r="AG15" s="15" t="s">
        <v>367</v>
      </c>
      <c r="AH15" s="1" t="s">
        <v>50</v>
      </c>
      <c r="AI15" s="1" t="s">
        <v>191</v>
      </c>
      <c r="AJ15" s="1" t="s">
        <v>192</v>
      </c>
      <c r="AK15" s="1" t="s">
        <v>74</v>
      </c>
      <c r="AL15" s="1">
        <v>-273</v>
      </c>
      <c r="AM15" s="1" t="s">
        <v>193</v>
      </c>
      <c r="AN15" s="1" t="s">
        <v>55</v>
      </c>
      <c r="AO15" s="1" t="s">
        <v>194</v>
      </c>
      <c r="AP15" s="1" t="s">
        <v>57</v>
      </c>
      <c r="AQ15" s="1" t="s">
        <v>57</v>
      </c>
      <c r="AR15" s="1" t="s">
        <v>57</v>
      </c>
      <c r="AS15" s="1" t="s">
        <v>57</v>
      </c>
      <c r="AT15" s="1" t="s">
        <v>137</v>
      </c>
      <c r="AU15" s="1"/>
    </row>
    <row r="16" spans="1:47" ht="18" customHeight="1" x14ac:dyDescent="0.2">
      <c r="A16" s="13">
        <f t="shared" si="0"/>
        <v>13</v>
      </c>
      <c r="B16" s="29" t="s">
        <v>1315</v>
      </c>
      <c r="C16" s="27" t="s">
        <v>1320</v>
      </c>
      <c r="D16" s="22" t="s">
        <v>117</v>
      </c>
      <c r="E16" s="22" t="s">
        <v>32</v>
      </c>
      <c r="F16" s="22" t="s">
        <v>183</v>
      </c>
      <c r="G16" s="23" t="s">
        <v>32</v>
      </c>
      <c r="H16" s="23" t="s">
        <v>32</v>
      </c>
      <c r="I16" s="23" t="s">
        <v>32</v>
      </c>
      <c r="J16" s="23" t="s">
        <v>42</v>
      </c>
      <c r="K16" s="22" t="s">
        <v>185</v>
      </c>
      <c r="L16" s="22" t="s">
        <v>182</v>
      </c>
      <c r="M16" s="22" t="s">
        <v>32</v>
      </c>
      <c r="N16" s="22" t="s">
        <v>32</v>
      </c>
      <c r="O16" s="23" t="s">
        <v>169</v>
      </c>
      <c r="P16" s="23" t="s">
        <v>98</v>
      </c>
      <c r="Q16" s="22" t="s">
        <v>32</v>
      </c>
      <c r="R16" s="22" t="s">
        <v>32</v>
      </c>
      <c r="S16" s="22" t="s">
        <v>32</v>
      </c>
      <c r="T16" s="23" t="s">
        <v>184</v>
      </c>
      <c r="U16" s="22" t="s">
        <v>32</v>
      </c>
      <c r="V16" s="22" t="s">
        <v>40</v>
      </c>
      <c r="W16" s="23" t="s">
        <v>32</v>
      </c>
      <c r="X16" s="22" t="s">
        <v>40</v>
      </c>
      <c r="Y16" s="22" t="s">
        <v>32</v>
      </c>
      <c r="Z16" s="22">
        <v>6.85</v>
      </c>
      <c r="AA16" s="22" t="s">
        <v>186</v>
      </c>
      <c r="AB16" s="1" t="s">
        <v>45</v>
      </c>
      <c r="AC16" s="1" t="s">
        <v>195</v>
      </c>
      <c r="AD16" s="1" t="s">
        <v>196</v>
      </c>
      <c r="AE16" s="1" t="s">
        <v>197</v>
      </c>
      <c r="AF16" s="1" t="s">
        <v>120</v>
      </c>
      <c r="AG16" s="15" t="s">
        <v>1429</v>
      </c>
      <c r="AH16" s="1" t="s">
        <v>198</v>
      </c>
      <c r="AI16" s="1" t="s">
        <v>199</v>
      </c>
      <c r="AJ16" s="1" t="s">
        <v>192</v>
      </c>
      <c r="AK16" s="1" t="s">
        <v>74</v>
      </c>
      <c r="AL16" s="1">
        <v>-273</v>
      </c>
      <c r="AM16" s="1" t="s">
        <v>193</v>
      </c>
      <c r="AN16" s="1" t="s">
        <v>55</v>
      </c>
      <c r="AO16" s="1" t="s">
        <v>194</v>
      </c>
      <c r="AP16" s="1" t="s">
        <v>57</v>
      </c>
      <c r="AQ16" s="1" t="s">
        <v>57</v>
      </c>
      <c r="AR16" s="1" t="s">
        <v>57</v>
      </c>
      <c r="AS16" s="1" t="s">
        <v>57</v>
      </c>
      <c r="AT16" s="1" t="s">
        <v>137</v>
      </c>
      <c r="AU16" s="1"/>
    </row>
    <row r="17" spans="1:47" ht="18" customHeight="1" x14ac:dyDescent="0.2">
      <c r="A17" s="13">
        <f t="shared" si="0"/>
        <v>14</v>
      </c>
      <c r="B17" s="29" t="s">
        <v>1316</v>
      </c>
      <c r="C17" s="27" t="s">
        <v>1321</v>
      </c>
      <c r="D17" s="22" t="s">
        <v>1420</v>
      </c>
      <c r="E17" s="22" t="s">
        <v>32</v>
      </c>
      <c r="F17" s="22" t="s">
        <v>202</v>
      </c>
      <c r="G17" s="23" t="s">
        <v>32</v>
      </c>
      <c r="H17" s="23" t="s">
        <v>32</v>
      </c>
      <c r="I17" s="23" t="s">
        <v>32</v>
      </c>
      <c r="J17" s="23" t="s">
        <v>32</v>
      </c>
      <c r="K17" s="22" t="s">
        <v>42</v>
      </c>
      <c r="L17" s="22" t="s">
        <v>182</v>
      </c>
      <c r="M17" s="22" t="s">
        <v>32</v>
      </c>
      <c r="N17" s="22" t="s">
        <v>32</v>
      </c>
      <c r="O17" s="23" t="s">
        <v>203</v>
      </c>
      <c r="P17" s="23" t="s">
        <v>40</v>
      </c>
      <c r="Q17" s="22" t="s">
        <v>32</v>
      </c>
      <c r="R17" s="22" t="s">
        <v>32</v>
      </c>
      <c r="S17" s="22" t="s">
        <v>32</v>
      </c>
      <c r="T17" s="23" t="s">
        <v>204</v>
      </c>
      <c r="U17" s="22" t="s">
        <v>32</v>
      </c>
      <c r="V17" s="22" t="s">
        <v>42</v>
      </c>
      <c r="W17" s="23" t="s">
        <v>32</v>
      </c>
      <c r="X17" s="22" t="s">
        <v>40</v>
      </c>
      <c r="Y17" s="22" t="s">
        <v>32</v>
      </c>
      <c r="Z17" s="22">
        <v>8.5500000000000007</v>
      </c>
      <c r="AA17" s="22" t="s">
        <v>205</v>
      </c>
      <c r="AB17" s="1" t="s">
        <v>206</v>
      </c>
      <c r="AC17" s="1" t="s">
        <v>106</v>
      </c>
      <c r="AD17" s="1" t="s">
        <v>207</v>
      </c>
      <c r="AE17" s="1" t="s">
        <v>130</v>
      </c>
      <c r="AF17" s="1" t="s">
        <v>208</v>
      </c>
      <c r="AG17" s="15" t="s">
        <v>940</v>
      </c>
      <c r="AH17" s="1" t="s">
        <v>107</v>
      </c>
      <c r="AI17" s="1" t="s">
        <v>209</v>
      </c>
      <c r="AJ17" s="1" t="s">
        <v>232</v>
      </c>
      <c r="AK17" s="1" t="s">
        <v>74</v>
      </c>
      <c r="AL17" s="1">
        <v>-273</v>
      </c>
      <c r="AM17" s="1" t="s">
        <v>210</v>
      </c>
      <c r="AN17" s="1" t="s">
        <v>55</v>
      </c>
      <c r="AO17" s="1" t="s">
        <v>211</v>
      </c>
      <c r="AP17" s="1" t="s">
        <v>57</v>
      </c>
      <c r="AQ17" s="1" t="s">
        <v>57</v>
      </c>
      <c r="AR17" s="1" t="s">
        <v>57</v>
      </c>
      <c r="AS17" s="1" t="s">
        <v>57</v>
      </c>
      <c r="AT17" s="1" t="s">
        <v>137</v>
      </c>
      <c r="AU17" s="1"/>
    </row>
    <row r="18" spans="1:47" ht="18" customHeight="1" x14ac:dyDescent="0.2">
      <c r="A18" s="13">
        <f t="shared" si="0"/>
        <v>15</v>
      </c>
      <c r="B18" s="29" t="s">
        <v>1316</v>
      </c>
      <c r="C18" s="27" t="s">
        <v>1322</v>
      </c>
      <c r="D18" s="22" t="s">
        <v>337</v>
      </c>
      <c r="E18" s="22" t="s">
        <v>32</v>
      </c>
      <c r="F18" s="22" t="s">
        <v>202</v>
      </c>
      <c r="G18" s="23" t="s">
        <v>32</v>
      </c>
      <c r="H18" s="23" t="s">
        <v>32</v>
      </c>
      <c r="I18" s="23" t="s">
        <v>32</v>
      </c>
      <c r="J18" s="23" t="s">
        <v>32</v>
      </c>
      <c r="K18" s="22" t="s">
        <v>42</v>
      </c>
      <c r="L18" s="22" t="s">
        <v>182</v>
      </c>
      <c r="M18" s="22" t="s">
        <v>32</v>
      </c>
      <c r="N18" s="22" t="s">
        <v>32</v>
      </c>
      <c r="O18" s="23" t="s">
        <v>203</v>
      </c>
      <c r="P18" s="23" t="s">
        <v>40</v>
      </c>
      <c r="Q18" s="22" t="s">
        <v>32</v>
      </c>
      <c r="R18" s="22" t="s">
        <v>32</v>
      </c>
      <c r="S18" s="22" t="s">
        <v>32</v>
      </c>
      <c r="T18" s="23" t="s">
        <v>204</v>
      </c>
      <c r="U18" s="22" t="s">
        <v>32</v>
      </c>
      <c r="V18" s="22" t="s">
        <v>42</v>
      </c>
      <c r="W18" s="23" t="s">
        <v>32</v>
      </c>
      <c r="X18" s="22" t="s">
        <v>40</v>
      </c>
      <c r="Y18" s="22" t="s">
        <v>32</v>
      </c>
      <c r="Z18" s="22">
        <v>8.5500000000000007</v>
      </c>
      <c r="AA18" s="22" t="s">
        <v>205</v>
      </c>
      <c r="AB18" s="1" t="s">
        <v>206</v>
      </c>
      <c r="AC18" s="1" t="s">
        <v>212</v>
      </c>
      <c r="AD18" s="1" t="s">
        <v>213</v>
      </c>
      <c r="AE18" s="1" t="s">
        <v>214</v>
      </c>
      <c r="AF18" s="1" t="s">
        <v>215</v>
      </c>
      <c r="AG18" s="15" t="s">
        <v>1430</v>
      </c>
      <c r="AH18" s="1" t="s">
        <v>132</v>
      </c>
      <c r="AI18" s="1" t="s">
        <v>209</v>
      </c>
      <c r="AJ18" s="1" t="s">
        <v>232</v>
      </c>
      <c r="AK18" s="1" t="s">
        <v>74</v>
      </c>
      <c r="AL18" s="1">
        <v>-273</v>
      </c>
      <c r="AM18" s="1" t="s">
        <v>210</v>
      </c>
      <c r="AN18" s="1" t="s">
        <v>55</v>
      </c>
      <c r="AO18" s="1" t="s">
        <v>211</v>
      </c>
      <c r="AP18" s="1" t="s">
        <v>57</v>
      </c>
      <c r="AQ18" s="1" t="s">
        <v>57</v>
      </c>
      <c r="AR18" s="1" t="s">
        <v>57</v>
      </c>
      <c r="AS18" s="1" t="s">
        <v>57</v>
      </c>
      <c r="AT18" s="1" t="s">
        <v>137</v>
      </c>
      <c r="AU18" s="1"/>
    </row>
    <row r="19" spans="1:47" ht="18" customHeight="1" x14ac:dyDescent="0.2">
      <c r="A19" s="13">
        <f t="shared" si="0"/>
        <v>16</v>
      </c>
      <c r="B19" s="29" t="s">
        <v>1316</v>
      </c>
      <c r="C19" s="27" t="s">
        <v>1322</v>
      </c>
      <c r="D19" s="22" t="s">
        <v>310</v>
      </c>
      <c r="E19" s="22" t="s">
        <v>32</v>
      </c>
      <c r="F19" s="22" t="s">
        <v>202</v>
      </c>
      <c r="G19" s="23" t="s">
        <v>32</v>
      </c>
      <c r="H19" s="23" t="s">
        <v>32</v>
      </c>
      <c r="I19" s="23" t="s">
        <v>32</v>
      </c>
      <c r="J19" s="23" t="s">
        <v>32</v>
      </c>
      <c r="K19" s="22" t="s">
        <v>42</v>
      </c>
      <c r="L19" s="22" t="s">
        <v>182</v>
      </c>
      <c r="M19" s="22" t="s">
        <v>32</v>
      </c>
      <c r="N19" s="22" t="s">
        <v>32</v>
      </c>
      <c r="O19" s="23" t="s">
        <v>203</v>
      </c>
      <c r="P19" s="23" t="s">
        <v>40</v>
      </c>
      <c r="Q19" s="22" t="s">
        <v>32</v>
      </c>
      <c r="R19" s="22" t="s">
        <v>32</v>
      </c>
      <c r="S19" s="22" t="s">
        <v>32</v>
      </c>
      <c r="T19" s="23" t="s">
        <v>204</v>
      </c>
      <c r="U19" s="22" t="s">
        <v>32</v>
      </c>
      <c r="V19" s="22" t="s">
        <v>42</v>
      </c>
      <c r="W19" s="23" t="s">
        <v>32</v>
      </c>
      <c r="X19" s="22" t="s">
        <v>40</v>
      </c>
      <c r="Y19" s="22" t="s">
        <v>32</v>
      </c>
      <c r="Z19" s="22">
        <v>8.5500000000000007</v>
      </c>
      <c r="AA19" s="22" t="s">
        <v>205</v>
      </c>
      <c r="AB19" s="1" t="s">
        <v>206</v>
      </c>
      <c r="AC19" s="1" t="s">
        <v>114</v>
      </c>
      <c r="AD19" s="1" t="s">
        <v>216</v>
      </c>
      <c r="AE19" s="1" t="s">
        <v>217</v>
      </c>
      <c r="AF19" s="1" t="s">
        <v>218</v>
      </c>
      <c r="AG19" s="15" t="s">
        <v>1431</v>
      </c>
      <c r="AH19" s="1" t="s">
        <v>219</v>
      </c>
      <c r="AI19" s="1" t="s">
        <v>220</v>
      </c>
      <c r="AJ19" s="1" t="s">
        <v>232</v>
      </c>
      <c r="AK19" s="1" t="s">
        <v>74</v>
      </c>
      <c r="AL19" s="1">
        <v>-273</v>
      </c>
      <c r="AM19" s="1" t="s">
        <v>210</v>
      </c>
      <c r="AN19" s="1" t="s">
        <v>55</v>
      </c>
      <c r="AO19" s="1" t="s">
        <v>211</v>
      </c>
      <c r="AP19" s="1" t="s">
        <v>57</v>
      </c>
      <c r="AQ19" s="1" t="s">
        <v>57</v>
      </c>
      <c r="AR19" s="1" t="s">
        <v>57</v>
      </c>
      <c r="AS19" s="1" t="s">
        <v>57</v>
      </c>
      <c r="AT19" s="1" t="s">
        <v>137</v>
      </c>
      <c r="AU19" s="1"/>
    </row>
    <row r="20" spans="1:47" ht="18" customHeight="1" x14ac:dyDescent="0.2">
      <c r="A20" s="13">
        <f t="shared" si="0"/>
        <v>17</v>
      </c>
      <c r="B20" s="29" t="s">
        <v>1316</v>
      </c>
      <c r="C20" s="27" t="s">
        <v>1321</v>
      </c>
      <c r="D20" s="22" t="s">
        <v>1420</v>
      </c>
      <c r="E20" s="22" t="s">
        <v>32</v>
      </c>
      <c r="F20" s="22" t="s">
        <v>202</v>
      </c>
      <c r="G20" s="23" t="s">
        <v>32</v>
      </c>
      <c r="H20" s="23" t="s">
        <v>32</v>
      </c>
      <c r="I20" s="23" t="s">
        <v>32</v>
      </c>
      <c r="J20" s="23" t="s">
        <v>32</v>
      </c>
      <c r="K20" s="22" t="s">
        <v>42</v>
      </c>
      <c r="L20" s="22" t="s">
        <v>182</v>
      </c>
      <c r="M20" s="22" t="s">
        <v>32</v>
      </c>
      <c r="N20" s="22" t="s">
        <v>32</v>
      </c>
      <c r="O20" s="23" t="s">
        <v>203</v>
      </c>
      <c r="P20" s="23" t="s">
        <v>40</v>
      </c>
      <c r="Q20" s="22" t="s">
        <v>32</v>
      </c>
      <c r="R20" s="22" t="s">
        <v>32</v>
      </c>
      <c r="S20" s="22" t="s">
        <v>32</v>
      </c>
      <c r="T20" s="23" t="s">
        <v>204</v>
      </c>
      <c r="U20" s="22" t="s">
        <v>32</v>
      </c>
      <c r="V20" s="22" t="s">
        <v>42</v>
      </c>
      <c r="W20" s="23" t="s">
        <v>32</v>
      </c>
      <c r="X20" s="22" t="s">
        <v>40</v>
      </c>
      <c r="Y20" s="22" t="s">
        <v>32</v>
      </c>
      <c r="Z20" s="22">
        <v>8.5500000000000007</v>
      </c>
      <c r="AA20" s="22" t="s">
        <v>205</v>
      </c>
      <c r="AB20" s="1" t="s">
        <v>206</v>
      </c>
      <c r="AC20" s="1" t="s">
        <v>221</v>
      </c>
      <c r="AD20" s="1" t="s">
        <v>222</v>
      </c>
      <c r="AE20" s="1" t="s">
        <v>223</v>
      </c>
      <c r="AF20" s="1" t="s">
        <v>116</v>
      </c>
      <c r="AG20" s="15" t="s">
        <v>1432</v>
      </c>
      <c r="AH20" s="1" t="s">
        <v>224</v>
      </c>
      <c r="AI20" s="1" t="s">
        <v>209</v>
      </c>
      <c r="AJ20" s="1" t="s">
        <v>232</v>
      </c>
      <c r="AK20" s="1" t="s">
        <v>74</v>
      </c>
      <c r="AL20" s="1">
        <v>-273</v>
      </c>
      <c r="AM20" s="1" t="s">
        <v>210</v>
      </c>
      <c r="AN20" s="1" t="s">
        <v>55</v>
      </c>
      <c r="AO20" s="1" t="s">
        <v>211</v>
      </c>
      <c r="AP20" s="1" t="s">
        <v>57</v>
      </c>
      <c r="AQ20" s="1" t="s">
        <v>57</v>
      </c>
      <c r="AR20" s="1" t="s">
        <v>57</v>
      </c>
      <c r="AS20" s="1" t="s">
        <v>57</v>
      </c>
      <c r="AT20" s="1" t="s">
        <v>137</v>
      </c>
      <c r="AU20" s="1"/>
    </row>
    <row r="21" spans="1:47" ht="18" customHeight="1" x14ac:dyDescent="0.2">
      <c r="A21" s="13">
        <f t="shared" si="0"/>
        <v>18</v>
      </c>
      <c r="B21" s="28"/>
      <c r="C21" s="27" t="s">
        <v>225</v>
      </c>
      <c r="D21" s="22" t="s">
        <v>1421</v>
      </c>
      <c r="E21" s="22" t="s">
        <v>32</v>
      </c>
      <c r="F21" s="22" t="s">
        <v>228</v>
      </c>
      <c r="G21" s="23" t="s">
        <v>32</v>
      </c>
      <c r="H21" s="23" t="s">
        <v>32</v>
      </c>
      <c r="I21" s="23" t="s">
        <v>32</v>
      </c>
      <c r="J21" s="23" t="s">
        <v>32</v>
      </c>
      <c r="K21" s="22" t="s">
        <v>39</v>
      </c>
      <c r="L21" s="22" t="s">
        <v>226</v>
      </c>
      <c r="M21" s="22" t="s">
        <v>32</v>
      </c>
      <c r="N21" s="22" t="s">
        <v>32</v>
      </c>
      <c r="O21" s="23" t="s">
        <v>229</v>
      </c>
      <c r="P21" s="23" t="s">
        <v>227</v>
      </c>
      <c r="Q21" s="22" t="s">
        <v>32</v>
      </c>
      <c r="R21" s="22" t="s">
        <v>32</v>
      </c>
      <c r="S21" s="22" t="s">
        <v>32</v>
      </c>
      <c r="T21" s="23" t="s">
        <v>204</v>
      </c>
      <c r="U21" s="22" t="s">
        <v>32</v>
      </c>
      <c r="V21" s="22" t="s">
        <v>167</v>
      </c>
      <c r="W21" s="23" t="s">
        <v>32</v>
      </c>
      <c r="X21" s="22" t="s">
        <v>39</v>
      </c>
      <c r="Y21" s="22" t="s">
        <v>32</v>
      </c>
      <c r="Z21" s="22">
        <v>8.33</v>
      </c>
      <c r="AA21" s="22" t="s">
        <v>153</v>
      </c>
      <c r="AB21" s="1" t="s">
        <v>230</v>
      </c>
      <c r="AC21" s="1" t="s">
        <v>162</v>
      </c>
      <c r="AD21" s="1" t="s">
        <v>231</v>
      </c>
      <c r="AE21" s="1" t="s">
        <v>105</v>
      </c>
      <c r="AF21" s="1" t="s">
        <v>190</v>
      </c>
      <c r="AG21" s="1">
        <v>95</v>
      </c>
      <c r="AH21" s="1" t="s">
        <v>198</v>
      </c>
      <c r="AI21" s="1" t="s">
        <v>108</v>
      </c>
      <c r="AJ21" s="1" t="s">
        <v>232</v>
      </c>
      <c r="AK21" s="1" t="s">
        <v>74</v>
      </c>
      <c r="AL21" s="1">
        <v>-273</v>
      </c>
      <c r="AM21" s="1" t="s">
        <v>233</v>
      </c>
      <c r="AN21" s="1" t="s">
        <v>55</v>
      </c>
      <c r="AO21" s="1" t="s">
        <v>234</v>
      </c>
      <c r="AP21" s="1" t="s">
        <v>57</v>
      </c>
      <c r="AQ21" s="1" t="s">
        <v>57</v>
      </c>
      <c r="AR21" s="1" t="s">
        <v>57</v>
      </c>
      <c r="AS21" s="1" t="s">
        <v>57</v>
      </c>
      <c r="AT21" s="1" t="s">
        <v>137</v>
      </c>
      <c r="AU21" s="1"/>
    </row>
    <row r="22" spans="1:47" ht="18" customHeight="1" x14ac:dyDescent="0.2">
      <c r="A22" s="13">
        <f t="shared" si="0"/>
        <v>19</v>
      </c>
      <c r="B22" s="28"/>
      <c r="C22" s="27" t="s">
        <v>235</v>
      </c>
      <c r="D22" s="22" t="s">
        <v>1422</v>
      </c>
      <c r="E22" s="22" t="s">
        <v>32</v>
      </c>
      <c r="F22" s="22" t="s">
        <v>236</v>
      </c>
      <c r="G22" s="23" t="s">
        <v>32</v>
      </c>
      <c r="H22" s="23" t="s">
        <v>32</v>
      </c>
      <c r="I22" s="23" t="s">
        <v>32</v>
      </c>
      <c r="J22" s="23" t="s">
        <v>32</v>
      </c>
      <c r="K22" s="22" t="s">
        <v>167</v>
      </c>
      <c r="L22" s="22" t="s">
        <v>167</v>
      </c>
      <c r="M22" s="22" t="s">
        <v>32</v>
      </c>
      <c r="N22" s="22" t="s">
        <v>32</v>
      </c>
      <c r="O22" s="23" t="s">
        <v>237</v>
      </c>
      <c r="P22" s="23" t="s">
        <v>59</v>
      </c>
      <c r="Q22" s="22" t="s">
        <v>32</v>
      </c>
      <c r="R22" s="22" t="s">
        <v>32</v>
      </c>
      <c r="S22" s="22" t="s">
        <v>32</v>
      </c>
      <c r="T22" s="23" t="s">
        <v>238</v>
      </c>
      <c r="U22" s="22" t="s">
        <v>32</v>
      </c>
      <c r="V22" s="22" t="s">
        <v>167</v>
      </c>
      <c r="W22" s="23" t="s">
        <v>32</v>
      </c>
      <c r="X22" s="22" t="s">
        <v>59</v>
      </c>
      <c r="Y22" s="22" t="s">
        <v>32</v>
      </c>
      <c r="Z22" s="22">
        <v>8.33</v>
      </c>
      <c r="AA22" s="22" t="s">
        <v>239</v>
      </c>
      <c r="AB22" s="1" t="s">
        <v>240</v>
      </c>
      <c r="AC22" s="1" t="s">
        <v>241</v>
      </c>
      <c r="AD22" s="1" t="s">
        <v>242</v>
      </c>
      <c r="AE22" s="1" t="s">
        <v>101</v>
      </c>
      <c r="AF22" s="1" t="s">
        <v>175</v>
      </c>
      <c r="AG22" s="1" t="s">
        <v>862</v>
      </c>
      <c r="AH22" s="1" t="s">
        <v>243</v>
      </c>
      <c r="AI22" s="1" t="s">
        <v>244</v>
      </c>
      <c r="AJ22" s="1" t="s">
        <v>178</v>
      </c>
      <c r="AK22" s="1" t="s">
        <v>245</v>
      </c>
      <c r="AL22" s="1">
        <v>-273</v>
      </c>
      <c r="AM22" s="1" t="s">
        <v>246</v>
      </c>
      <c r="AN22" s="1" t="s">
        <v>180</v>
      </c>
      <c r="AO22" s="1" t="s">
        <v>247</v>
      </c>
      <c r="AP22" s="1" t="s">
        <v>57</v>
      </c>
      <c r="AQ22" s="1" t="s">
        <v>57</v>
      </c>
      <c r="AR22" s="1" t="s">
        <v>57</v>
      </c>
      <c r="AS22" s="1" t="s">
        <v>57</v>
      </c>
      <c r="AT22" s="1" t="s">
        <v>137</v>
      </c>
      <c r="AU22" s="1"/>
    </row>
    <row r="23" spans="1:47" ht="18" customHeight="1" x14ac:dyDescent="0.2">
      <c r="A23" s="13">
        <f t="shared" si="0"/>
        <v>20</v>
      </c>
      <c r="B23" s="29" t="s">
        <v>1323</v>
      </c>
      <c r="C23" s="27" t="s">
        <v>1324</v>
      </c>
      <c r="D23" s="22" t="s">
        <v>311</v>
      </c>
      <c r="E23" s="22" t="s">
        <v>32</v>
      </c>
      <c r="F23" s="22" t="s">
        <v>249</v>
      </c>
      <c r="G23" s="23" t="s">
        <v>32</v>
      </c>
      <c r="H23" s="23" t="s">
        <v>32</v>
      </c>
      <c r="I23" s="23" t="s">
        <v>32</v>
      </c>
      <c r="J23" s="23" t="s">
        <v>32</v>
      </c>
      <c r="K23" s="22" t="s">
        <v>182</v>
      </c>
      <c r="L23" s="22" t="s">
        <v>248</v>
      </c>
      <c r="M23" s="22" t="s">
        <v>32</v>
      </c>
      <c r="N23" s="22" t="s">
        <v>32</v>
      </c>
      <c r="O23" s="23" t="s">
        <v>169</v>
      </c>
      <c r="P23" s="23" t="s">
        <v>40</v>
      </c>
      <c r="Q23" s="22" t="s">
        <v>98</v>
      </c>
      <c r="R23" s="22" t="s">
        <v>32</v>
      </c>
      <c r="S23" s="22" t="s">
        <v>32</v>
      </c>
      <c r="T23" s="23" t="s">
        <v>250</v>
      </c>
      <c r="U23" s="22" t="s">
        <v>226</v>
      </c>
      <c r="V23" s="22" t="s">
        <v>32</v>
      </c>
      <c r="W23" s="23" t="s">
        <v>32</v>
      </c>
      <c r="X23" s="22" t="s">
        <v>98</v>
      </c>
      <c r="Y23" s="22" t="s">
        <v>32</v>
      </c>
      <c r="Z23" s="22">
        <v>10.95</v>
      </c>
      <c r="AA23" s="22" t="s">
        <v>205</v>
      </c>
      <c r="AB23" s="1" t="s">
        <v>251</v>
      </c>
      <c r="AC23" s="1" t="s">
        <v>252</v>
      </c>
      <c r="AD23" s="1" t="s">
        <v>253</v>
      </c>
      <c r="AE23" s="1" t="s">
        <v>197</v>
      </c>
      <c r="AF23" s="1" t="s">
        <v>254</v>
      </c>
      <c r="AG23" s="1">
        <v>75</v>
      </c>
      <c r="AH23" s="1" t="s">
        <v>255</v>
      </c>
      <c r="AI23" s="1" t="s">
        <v>199</v>
      </c>
      <c r="AJ23" s="1" t="s">
        <v>256</v>
      </c>
      <c r="AK23" s="1" t="s">
        <v>74</v>
      </c>
      <c r="AL23" s="1">
        <v>-273</v>
      </c>
      <c r="AM23" s="1" t="s">
        <v>257</v>
      </c>
      <c r="AN23" s="1" t="s">
        <v>55</v>
      </c>
      <c r="AO23" s="1" t="s">
        <v>258</v>
      </c>
      <c r="AP23" s="1" t="s">
        <v>57</v>
      </c>
      <c r="AQ23" s="1" t="s">
        <v>57</v>
      </c>
      <c r="AR23" s="1" t="s">
        <v>57</v>
      </c>
      <c r="AS23" s="1" t="s">
        <v>57</v>
      </c>
      <c r="AT23" s="1" t="s">
        <v>137</v>
      </c>
      <c r="AU23" s="1"/>
    </row>
    <row r="24" spans="1:47" ht="18" customHeight="1" x14ac:dyDescent="0.2">
      <c r="A24" s="13">
        <f t="shared" si="0"/>
        <v>21</v>
      </c>
      <c r="B24" s="29" t="s">
        <v>1291</v>
      </c>
      <c r="C24" s="27" t="s">
        <v>1325</v>
      </c>
      <c r="D24" s="22" t="s">
        <v>311</v>
      </c>
      <c r="E24" s="22" t="s">
        <v>32</v>
      </c>
      <c r="F24" s="22" t="s">
        <v>260</v>
      </c>
      <c r="G24" s="23" t="s">
        <v>32</v>
      </c>
      <c r="H24" s="23" t="s">
        <v>32</v>
      </c>
      <c r="I24" s="23" t="s">
        <v>32</v>
      </c>
      <c r="J24" s="23" t="s">
        <v>32</v>
      </c>
      <c r="K24" s="22" t="s">
        <v>101</v>
      </c>
      <c r="L24" s="22" t="s">
        <v>259</v>
      </c>
      <c r="M24" s="22" t="s">
        <v>32</v>
      </c>
      <c r="N24" s="22" t="s">
        <v>32</v>
      </c>
      <c r="O24" s="23" t="s">
        <v>59</v>
      </c>
      <c r="P24" s="23" t="s">
        <v>98</v>
      </c>
      <c r="Q24" s="22" t="s">
        <v>98</v>
      </c>
      <c r="R24" s="22" t="s">
        <v>32</v>
      </c>
      <c r="S24" s="22" t="s">
        <v>32</v>
      </c>
      <c r="T24" s="23" t="s">
        <v>261</v>
      </c>
      <c r="U24" s="22" t="s">
        <v>40</v>
      </c>
      <c r="V24" s="22" t="s">
        <v>32</v>
      </c>
      <c r="W24" s="23" t="s">
        <v>32</v>
      </c>
      <c r="X24" s="22" t="s">
        <v>262</v>
      </c>
      <c r="Y24" s="22" t="s">
        <v>32</v>
      </c>
      <c r="Z24" s="22">
        <v>10.1</v>
      </c>
      <c r="AA24" s="22" t="s">
        <v>263</v>
      </c>
      <c r="AB24" s="1" t="s">
        <v>251</v>
      </c>
      <c r="AC24" s="1" t="s">
        <v>264</v>
      </c>
      <c r="AD24" s="1" t="s">
        <v>253</v>
      </c>
      <c r="AE24" s="1" t="s">
        <v>265</v>
      </c>
      <c r="AF24" s="1" t="s">
        <v>120</v>
      </c>
      <c r="AG24" s="1">
        <v>80</v>
      </c>
      <c r="AH24" s="1" t="s">
        <v>266</v>
      </c>
      <c r="AI24" s="1" t="s">
        <v>267</v>
      </c>
      <c r="AJ24" s="1" t="s">
        <v>268</v>
      </c>
      <c r="AK24" s="1" t="s">
        <v>269</v>
      </c>
      <c r="AL24" s="1">
        <v>-273</v>
      </c>
      <c r="AM24" s="1" t="s">
        <v>270</v>
      </c>
      <c r="AN24" s="1" t="s">
        <v>55</v>
      </c>
      <c r="AO24" s="1" t="s">
        <v>271</v>
      </c>
      <c r="AP24" s="1" t="s">
        <v>57</v>
      </c>
      <c r="AQ24" s="1" t="s">
        <v>57</v>
      </c>
      <c r="AR24" s="1" t="s">
        <v>57</v>
      </c>
      <c r="AS24" s="1" t="s">
        <v>57</v>
      </c>
      <c r="AT24" s="1" t="s">
        <v>137</v>
      </c>
      <c r="AU24" s="1"/>
    </row>
    <row r="25" spans="1:47" ht="18" customHeight="1" x14ac:dyDescent="0.2">
      <c r="A25" s="13">
        <f t="shared" si="0"/>
        <v>22</v>
      </c>
      <c r="B25" s="28"/>
      <c r="C25" s="27" t="s">
        <v>272</v>
      </c>
      <c r="D25" s="22" t="s">
        <v>311</v>
      </c>
      <c r="E25" s="22" t="s">
        <v>32</v>
      </c>
      <c r="F25" s="22" t="s">
        <v>274</v>
      </c>
      <c r="G25" s="23" t="s">
        <v>32</v>
      </c>
      <c r="H25" s="23" t="s">
        <v>32</v>
      </c>
      <c r="I25" s="23" t="s">
        <v>32</v>
      </c>
      <c r="J25" s="23" t="s">
        <v>32</v>
      </c>
      <c r="K25" s="22" t="s">
        <v>41</v>
      </c>
      <c r="L25" s="22" t="s">
        <v>259</v>
      </c>
      <c r="M25" s="22" t="s">
        <v>32</v>
      </c>
      <c r="N25" s="22" t="s">
        <v>32</v>
      </c>
      <c r="O25" s="23" t="s">
        <v>59</v>
      </c>
      <c r="P25" s="23" t="s">
        <v>98</v>
      </c>
      <c r="Q25" s="22" t="s">
        <v>273</v>
      </c>
      <c r="R25" s="22" t="s">
        <v>32</v>
      </c>
      <c r="S25" s="22" t="s">
        <v>32</v>
      </c>
      <c r="T25" s="23" t="s">
        <v>275</v>
      </c>
      <c r="U25" s="22" t="s">
        <v>226</v>
      </c>
      <c r="V25" s="22" t="s">
        <v>32</v>
      </c>
      <c r="W25" s="23" t="s">
        <v>32</v>
      </c>
      <c r="X25" s="22" t="s">
        <v>262</v>
      </c>
      <c r="Y25" s="22" t="s">
        <v>32</v>
      </c>
      <c r="Z25" s="22">
        <v>12.1</v>
      </c>
      <c r="AA25" s="22" t="s">
        <v>263</v>
      </c>
      <c r="AB25" s="1" t="s">
        <v>251</v>
      </c>
      <c r="AC25" s="1" t="s">
        <v>276</v>
      </c>
      <c r="AD25" s="1" t="s">
        <v>277</v>
      </c>
      <c r="AE25" s="1" t="s">
        <v>278</v>
      </c>
      <c r="AF25" s="1" t="s">
        <v>279</v>
      </c>
      <c r="AG25" s="1">
        <v>75</v>
      </c>
      <c r="AH25" s="1" t="s">
        <v>280</v>
      </c>
      <c r="AI25" s="1" t="s">
        <v>281</v>
      </c>
      <c r="AJ25" s="1" t="s">
        <v>282</v>
      </c>
      <c r="AK25" s="1" t="s">
        <v>74</v>
      </c>
      <c r="AL25" s="1">
        <v>-273</v>
      </c>
      <c r="AM25" s="1" t="s">
        <v>283</v>
      </c>
      <c r="AN25" s="1" t="s">
        <v>55</v>
      </c>
      <c r="AO25" s="1" t="s">
        <v>271</v>
      </c>
      <c r="AP25" s="1" t="s">
        <v>57</v>
      </c>
      <c r="AQ25" s="1" t="s">
        <v>57</v>
      </c>
      <c r="AR25" s="1" t="s">
        <v>57</v>
      </c>
      <c r="AS25" s="1" t="s">
        <v>57</v>
      </c>
      <c r="AT25" s="1" t="s">
        <v>137</v>
      </c>
      <c r="AU25" s="1"/>
    </row>
    <row r="26" spans="1:47" ht="18" customHeight="1" x14ac:dyDescent="0.2">
      <c r="A26" s="13">
        <f t="shared" si="0"/>
        <v>23</v>
      </c>
      <c r="B26" s="28"/>
      <c r="C26" s="27" t="s">
        <v>1287</v>
      </c>
      <c r="D26" s="22" t="s">
        <v>284</v>
      </c>
      <c r="E26" s="22" t="s">
        <v>32</v>
      </c>
      <c r="F26" s="22" t="s">
        <v>150</v>
      </c>
      <c r="G26" s="23" t="s">
        <v>32</v>
      </c>
      <c r="H26" s="23" t="s">
        <v>32</v>
      </c>
      <c r="I26" s="23" t="s">
        <v>32</v>
      </c>
      <c r="J26" s="23" t="s">
        <v>32</v>
      </c>
      <c r="K26" s="22" t="s">
        <v>123</v>
      </c>
      <c r="L26" s="22" t="s">
        <v>33</v>
      </c>
      <c r="M26" s="22" t="s">
        <v>32</v>
      </c>
      <c r="N26" s="22" t="s">
        <v>32</v>
      </c>
      <c r="O26" s="23" t="s">
        <v>151</v>
      </c>
      <c r="P26" s="23" t="s">
        <v>40</v>
      </c>
      <c r="Q26" s="22" t="s">
        <v>41</v>
      </c>
      <c r="R26" s="22" t="s">
        <v>32</v>
      </c>
      <c r="S26" s="22" t="s">
        <v>32</v>
      </c>
      <c r="T26" s="23" t="s">
        <v>152</v>
      </c>
      <c r="U26" s="22" t="s">
        <v>32</v>
      </c>
      <c r="V26" s="22" t="s">
        <v>42</v>
      </c>
      <c r="W26" s="23" t="s">
        <v>32</v>
      </c>
      <c r="X26" s="22" t="s">
        <v>40</v>
      </c>
      <c r="Y26" s="22" t="s">
        <v>32</v>
      </c>
      <c r="Z26" s="22">
        <v>14.65</v>
      </c>
      <c r="AA26" s="22" t="s">
        <v>239</v>
      </c>
      <c r="AB26" s="1" t="s">
        <v>285</v>
      </c>
      <c r="AC26" s="1" t="s">
        <v>286</v>
      </c>
      <c r="AD26" s="1" t="s">
        <v>287</v>
      </c>
      <c r="AE26" s="1" t="s">
        <v>156</v>
      </c>
      <c r="AF26" s="1" t="s">
        <v>288</v>
      </c>
      <c r="AG26" s="1">
        <v>110</v>
      </c>
      <c r="AH26" s="1" t="s">
        <v>289</v>
      </c>
      <c r="AI26" s="1" t="s">
        <v>290</v>
      </c>
      <c r="AJ26" s="1" t="s">
        <v>291</v>
      </c>
      <c r="AK26" s="1" t="s">
        <v>53</v>
      </c>
      <c r="AL26" s="1">
        <v>-273</v>
      </c>
      <c r="AM26" s="1" t="s">
        <v>292</v>
      </c>
      <c r="AN26" s="1" t="s">
        <v>55</v>
      </c>
      <c r="AO26" s="1" t="s">
        <v>293</v>
      </c>
      <c r="AP26" s="1" t="s">
        <v>57</v>
      </c>
      <c r="AQ26" s="1" t="s">
        <v>57</v>
      </c>
      <c r="AR26" s="1" t="s">
        <v>57</v>
      </c>
      <c r="AS26" s="1" t="s">
        <v>57</v>
      </c>
      <c r="AT26" s="1" t="s">
        <v>137</v>
      </c>
      <c r="AU26" s="1"/>
    </row>
    <row r="27" spans="1:47" ht="18" customHeight="1" x14ac:dyDescent="0.2">
      <c r="A27" s="13">
        <f t="shared" si="0"/>
        <v>24</v>
      </c>
      <c r="B27" s="28"/>
      <c r="C27" s="27" t="s">
        <v>1288</v>
      </c>
      <c r="D27" s="22" t="s">
        <v>294</v>
      </c>
      <c r="E27" s="22" t="s">
        <v>32</v>
      </c>
      <c r="F27" s="22" t="s">
        <v>150</v>
      </c>
      <c r="G27" s="23" t="s">
        <v>32</v>
      </c>
      <c r="H27" s="23" t="s">
        <v>32</v>
      </c>
      <c r="I27" s="23" t="s">
        <v>32</v>
      </c>
      <c r="J27" s="23" t="s">
        <v>32</v>
      </c>
      <c r="K27" s="22" t="s">
        <v>123</v>
      </c>
      <c r="L27" s="22" t="s">
        <v>33</v>
      </c>
      <c r="M27" s="22" t="s">
        <v>32</v>
      </c>
      <c r="N27" s="22" t="s">
        <v>32</v>
      </c>
      <c r="O27" s="23" t="s">
        <v>151</v>
      </c>
      <c r="P27" s="23" t="s">
        <v>40</v>
      </c>
      <c r="Q27" s="22" t="s">
        <v>41</v>
      </c>
      <c r="R27" s="22" t="s">
        <v>32</v>
      </c>
      <c r="S27" s="22" t="s">
        <v>32</v>
      </c>
      <c r="T27" s="23" t="s">
        <v>152</v>
      </c>
      <c r="U27" s="22" t="s">
        <v>32</v>
      </c>
      <c r="V27" s="22" t="s">
        <v>42</v>
      </c>
      <c r="W27" s="23" t="s">
        <v>32</v>
      </c>
      <c r="X27" s="22" t="s">
        <v>40</v>
      </c>
      <c r="Y27" s="22" t="s">
        <v>32</v>
      </c>
      <c r="Z27" s="22">
        <v>14.65</v>
      </c>
      <c r="AA27" s="22" t="s">
        <v>239</v>
      </c>
      <c r="AB27" s="1" t="s">
        <v>285</v>
      </c>
      <c r="AC27" s="1" t="s">
        <v>295</v>
      </c>
      <c r="AD27" s="1" t="s">
        <v>296</v>
      </c>
      <c r="AE27" s="1" t="s">
        <v>156</v>
      </c>
      <c r="AF27" s="1" t="s">
        <v>297</v>
      </c>
      <c r="AG27" s="1">
        <v>110</v>
      </c>
      <c r="AH27" s="1" t="s">
        <v>289</v>
      </c>
      <c r="AI27" s="1" t="s">
        <v>290</v>
      </c>
      <c r="AJ27" s="1" t="s">
        <v>291</v>
      </c>
      <c r="AK27" s="1" t="s">
        <v>53</v>
      </c>
      <c r="AL27" s="1">
        <v>-273</v>
      </c>
      <c r="AM27" s="1" t="s">
        <v>292</v>
      </c>
      <c r="AN27" s="1" t="s">
        <v>55</v>
      </c>
      <c r="AO27" s="1" t="s">
        <v>293</v>
      </c>
      <c r="AP27" s="1" t="s">
        <v>57</v>
      </c>
      <c r="AQ27" s="1" t="s">
        <v>57</v>
      </c>
      <c r="AR27" s="1" t="s">
        <v>57</v>
      </c>
      <c r="AS27" s="1" t="s">
        <v>57</v>
      </c>
      <c r="AT27" s="1" t="s">
        <v>137</v>
      </c>
      <c r="AU27" s="1"/>
    </row>
    <row r="28" spans="1:47" ht="18" customHeight="1" x14ac:dyDescent="0.2">
      <c r="A28" s="13">
        <f t="shared" si="0"/>
        <v>25</v>
      </c>
      <c r="B28" s="29" t="s">
        <v>1316</v>
      </c>
      <c r="C28" s="27" t="s">
        <v>1326</v>
      </c>
      <c r="D28" s="22" t="s">
        <v>312</v>
      </c>
      <c r="E28" s="22" t="s">
        <v>32</v>
      </c>
      <c r="F28" s="22" t="s">
        <v>298</v>
      </c>
      <c r="G28" s="23" t="s">
        <v>32</v>
      </c>
      <c r="H28" s="23" t="s">
        <v>32</v>
      </c>
      <c r="I28" s="23" t="s">
        <v>32</v>
      </c>
      <c r="J28" s="23" t="s">
        <v>32</v>
      </c>
      <c r="K28" s="22" t="s">
        <v>167</v>
      </c>
      <c r="L28" s="22" t="s">
        <v>167</v>
      </c>
      <c r="M28" s="22" t="s">
        <v>32</v>
      </c>
      <c r="N28" s="22" t="s">
        <v>32</v>
      </c>
      <c r="O28" s="23" t="s">
        <v>299</v>
      </c>
      <c r="P28" s="23" t="s">
        <v>59</v>
      </c>
      <c r="Q28" s="22" t="s">
        <v>32</v>
      </c>
      <c r="R28" s="22" t="s">
        <v>32</v>
      </c>
      <c r="S28" s="22" t="s">
        <v>32</v>
      </c>
      <c r="T28" s="23" t="s">
        <v>204</v>
      </c>
      <c r="U28" s="22" t="s">
        <v>32</v>
      </c>
      <c r="V28" s="22" t="s">
        <v>167</v>
      </c>
      <c r="W28" s="23" t="s">
        <v>32</v>
      </c>
      <c r="X28" s="22" t="s">
        <v>59</v>
      </c>
      <c r="Y28" s="22" t="s">
        <v>32</v>
      </c>
      <c r="Z28" s="22">
        <v>8.0500000000000007</v>
      </c>
      <c r="AA28" s="22" t="s">
        <v>205</v>
      </c>
      <c r="AB28" s="1" t="s">
        <v>206</v>
      </c>
      <c r="AC28" s="1" t="s">
        <v>300</v>
      </c>
      <c r="AD28" s="1" t="s">
        <v>301</v>
      </c>
      <c r="AE28" s="1" t="s">
        <v>302</v>
      </c>
      <c r="AF28" s="1" t="s">
        <v>303</v>
      </c>
      <c r="AG28" s="1">
        <v>55</v>
      </c>
      <c r="AH28" s="1" t="s">
        <v>304</v>
      </c>
      <c r="AI28" s="1" t="s">
        <v>305</v>
      </c>
      <c r="AJ28" s="1" t="s">
        <v>306</v>
      </c>
      <c r="AK28" s="1" t="s">
        <v>74</v>
      </c>
      <c r="AL28" s="1">
        <v>-273</v>
      </c>
      <c r="AM28" s="1" t="s">
        <v>307</v>
      </c>
      <c r="AN28" s="1" t="s">
        <v>55</v>
      </c>
      <c r="AO28" s="1" t="s">
        <v>308</v>
      </c>
      <c r="AP28" s="1" t="s">
        <v>57</v>
      </c>
      <c r="AQ28" s="1" t="s">
        <v>57</v>
      </c>
      <c r="AR28" s="1" t="s">
        <v>57</v>
      </c>
      <c r="AS28" s="1" t="s">
        <v>57</v>
      </c>
      <c r="AT28" s="1" t="s">
        <v>137</v>
      </c>
      <c r="AU28" s="1"/>
    </row>
    <row r="29" spans="1:47" ht="18" customHeight="1" x14ac:dyDescent="0.2">
      <c r="A29" s="13">
        <f t="shared" si="0"/>
        <v>26</v>
      </c>
      <c r="B29" s="29" t="s">
        <v>1316</v>
      </c>
      <c r="C29" s="27" t="s">
        <v>1326</v>
      </c>
      <c r="D29" s="22" t="s">
        <v>313</v>
      </c>
      <c r="E29" s="22" t="s">
        <v>32</v>
      </c>
      <c r="F29" s="22" t="s">
        <v>298</v>
      </c>
      <c r="G29" s="23" t="s">
        <v>32</v>
      </c>
      <c r="H29" s="23" t="s">
        <v>32</v>
      </c>
      <c r="I29" s="23" t="s">
        <v>32</v>
      </c>
      <c r="J29" s="23" t="s">
        <v>32</v>
      </c>
      <c r="K29" s="22" t="s">
        <v>167</v>
      </c>
      <c r="L29" s="22" t="s">
        <v>167</v>
      </c>
      <c r="M29" s="22" t="s">
        <v>32</v>
      </c>
      <c r="N29" s="22" t="s">
        <v>32</v>
      </c>
      <c r="O29" s="23" t="s">
        <v>299</v>
      </c>
      <c r="P29" s="23" t="s">
        <v>59</v>
      </c>
      <c r="Q29" s="22" t="s">
        <v>32</v>
      </c>
      <c r="R29" s="22" t="s">
        <v>32</v>
      </c>
      <c r="S29" s="22" t="s">
        <v>32</v>
      </c>
      <c r="T29" s="23" t="s">
        <v>204</v>
      </c>
      <c r="U29" s="22" t="s">
        <v>32</v>
      </c>
      <c r="V29" s="22" t="s">
        <v>167</v>
      </c>
      <c r="W29" s="23" t="s">
        <v>32</v>
      </c>
      <c r="X29" s="22" t="s">
        <v>59</v>
      </c>
      <c r="Y29" s="22" t="s">
        <v>32</v>
      </c>
      <c r="Z29" s="22">
        <v>8.0500000000000007</v>
      </c>
      <c r="AA29" s="22" t="s">
        <v>205</v>
      </c>
      <c r="AB29" s="1" t="s">
        <v>206</v>
      </c>
      <c r="AC29" s="1" t="s">
        <v>300</v>
      </c>
      <c r="AD29" s="1" t="s">
        <v>301</v>
      </c>
      <c r="AE29" s="1" t="s">
        <v>302</v>
      </c>
      <c r="AF29" s="1" t="s">
        <v>303</v>
      </c>
      <c r="AG29" s="1">
        <v>75</v>
      </c>
      <c r="AH29" s="1" t="s">
        <v>304</v>
      </c>
      <c r="AI29" s="1" t="s">
        <v>309</v>
      </c>
      <c r="AJ29" s="1" t="s">
        <v>306</v>
      </c>
      <c r="AK29" s="1" t="s">
        <v>74</v>
      </c>
      <c r="AL29" s="1">
        <v>-273</v>
      </c>
      <c r="AM29" s="1" t="s">
        <v>307</v>
      </c>
      <c r="AN29" s="1" t="s">
        <v>55</v>
      </c>
      <c r="AO29" s="1" t="s">
        <v>308</v>
      </c>
      <c r="AP29" s="1" t="s">
        <v>57</v>
      </c>
      <c r="AQ29" s="1" t="s">
        <v>57</v>
      </c>
      <c r="AR29" s="1" t="s">
        <v>57</v>
      </c>
      <c r="AS29" s="1" t="s">
        <v>57</v>
      </c>
      <c r="AT29" s="1" t="s">
        <v>137</v>
      </c>
      <c r="AU29" s="1"/>
    </row>
    <row r="30" spans="1:47" ht="18" customHeight="1" x14ac:dyDescent="0.2">
      <c r="A30" s="13">
        <f t="shared" si="0"/>
        <v>27</v>
      </c>
      <c r="B30" s="29" t="s">
        <v>1316</v>
      </c>
      <c r="C30" s="27" t="s">
        <v>1326</v>
      </c>
      <c r="D30" s="22" t="s">
        <v>310</v>
      </c>
      <c r="E30" s="22" t="s">
        <v>32</v>
      </c>
      <c r="F30" s="22" t="s">
        <v>298</v>
      </c>
      <c r="G30" s="23" t="s">
        <v>32</v>
      </c>
      <c r="H30" s="23" t="s">
        <v>32</v>
      </c>
      <c r="I30" s="23" t="s">
        <v>32</v>
      </c>
      <c r="J30" s="23" t="s">
        <v>32</v>
      </c>
      <c r="K30" s="22" t="s">
        <v>167</v>
      </c>
      <c r="L30" s="22" t="s">
        <v>167</v>
      </c>
      <c r="M30" s="22" t="s">
        <v>32</v>
      </c>
      <c r="N30" s="22" t="s">
        <v>32</v>
      </c>
      <c r="O30" s="23" t="s">
        <v>299</v>
      </c>
      <c r="P30" s="23" t="s">
        <v>59</v>
      </c>
      <c r="Q30" s="22" t="s">
        <v>32</v>
      </c>
      <c r="R30" s="22" t="s">
        <v>32</v>
      </c>
      <c r="S30" s="22" t="s">
        <v>32</v>
      </c>
      <c r="T30" s="23" t="s">
        <v>204</v>
      </c>
      <c r="U30" s="22" t="s">
        <v>32</v>
      </c>
      <c r="V30" s="22" t="s">
        <v>167</v>
      </c>
      <c r="W30" s="23" t="s">
        <v>32</v>
      </c>
      <c r="X30" s="22" t="s">
        <v>59</v>
      </c>
      <c r="Y30" s="22" t="s">
        <v>32</v>
      </c>
      <c r="Z30" s="22">
        <v>8.0500000000000007</v>
      </c>
      <c r="AA30" s="22" t="s">
        <v>205</v>
      </c>
      <c r="AB30" s="1" t="s">
        <v>206</v>
      </c>
      <c r="AC30" s="1" t="s">
        <v>314</v>
      </c>
      <c r="AD30" s="1" t="s">
        <v>315</v>
      </c>
      <c r="AE30" s="1" t="s">
        <v>217</v>
      </c>
      <c r="AF30" s="1" t="s">
        <v>316</v>
      </c>
      <c r="AG30" s="1">
        <v>55</v>
      </c>
      <c r="AH30" s="1" t="s">
        <v>304</v>
      </c>
      <c r="AI30" s="1" t="s">
        <v>220</v>
      </c>
      <c r="AJ30" s="1" t="s">
        <v>306</v>
      </c>
      <c r="AK30" s="1" t="s">
        <v>74</v>
      </c>
      <c r="AL30" s="1">
        <v>-273</v>
      </c>
      <c r="AM30" s="1" t="s">
        <v>307</v>
      </c>
      <c r="AN30" s="1" t="s">
        <v>55</v>
      </c>
      <c r="AO30" s="1" t="s">
        <v>308</v>
      </c>
      <c r="AP30" s="1" t="s">
        <v>57</v>
      </c>
      <c r="AQ30" s="1" t="s">
        <v>57</v>
      </c>
      <c r="AR30" s="1" t="s">
        <v>57</v>
      </c>
      <c r="AS30" s="1" t="s">
        <v>57</v>
      </c>
      <c r="AT30" s="1" t="s">
        <v>137</v>
      </c>
      <c r="AU30" s="17" t="s">
        <v>1433</v>
      </c>
    </row>
    <row r="31" spans="1:47" ht="18" customHeight="1" x14ac:dyDescent="0.2">
      <c r="A31" s="13">
        <f t="shared" si="0"/>
        <v>28</v>
      </c>
      <c r="B31" s="29" t="s">
        <v>1316</v>
      </c>
      <c r="C31" s="27" t="s">
        <v>1326</v>
      </c>
      <c r="D31" s="22" t="s">
        <v>117</v>
      </c>
      <c r="E31" s="22" t="s">
        <v>32</v>
      </c>
      <c r="F31" s="22" t="s">
        <v>298</v>
      </c>
      <c r="G31" s="23" t="s">
        <v>32</v>
      </c>
      <c r="H31" s="23" t="s">
        <v>32</v>
      </c>
      <c r="I31" s="23" t="s">
        <v>32</v>
      </c>
      <c r="J31" s="23" t="s">
        <v>32</v>
      </c>
      <c r="K31" s="22" t="s">
        <v>167</v>
      </c>
      <c r="L31" s="22" t="s">
        <v>167</v>
      </c>
      <c r="M31" s="22" t="s">
        <v>32</v>
      </c>
      <c r="N31" s="22" t="s">
        <v>32</v>
      </c>
      <c r="O31" s="23" t="s">
        <v>299</v>
      </c>
      <c r="P31" s="23" t="s">
        <v>59</v>
      </c>
      <c r="Q31" s="22" t="s">
        <v>32</v>
      </c>
      <c r="R31" s="22" t="s">
        <v>32</v>
      </c>
      <c r="S31" s="22" t="s">
        <v>32</v>
      </c>
      <c r="T31" s="23" t="s">
        <v>204</v>
      </c>
      <c r="U31" s="22" t="s">
        <v>32</v>
      </c>
      <c r="V31" s="22" t="s">
        <v>167</v>
      </c>
      <c r="W31" s="23" t="s">
        <v>32</v>
      </c>
      <c r="X31" s="22" t="s">
        <v>59</v>
      </c>
      <c r="Y31" s="22" t="s">
        <v>32</v>
      </c>
      <c r="Z31" s="22">
        <v>8.0500000000000007</v>
      </c>
      <c r="AA31" s="22" t="s">
        <v>205</v>
      </c>
      <c r="AB31" s="1" t="s">
        <v>206</v>
      </c>
      <c r="AC31" s="1" t="s">
        <v>317</v>
      </c>
      <c r="AD31" s="1" t="s">
        <v>318</v>
      </c>
      <c r="AE31" s="1" t="s">
        <v>319</v>
      </c>
      <c r="AF31" s="1" t="s">
        <v>254</v>
      </c>
      <c r="AG31" s="1">
        <v>75</v>
      </c>
      <c r="AH31" s="1" t="s">
        <v>304</v>
      </c>
      <c r="AI31" s="1" t="s">
        <v>309</v>
      </c>
      <c r="AJ31" s="1" t="s">
        <v>306</v>
      </c>
      <c r="AK31" s="1" t="s">
        <v>74</v>
      </c>
      <c r="AL31" s="1">
        <v>-273</v>
      </c>
      <c r="AM31" s="1" t="s">
        <v>307</v>
      </c>
      <c r="AN31" s="1" t="s">
        <v>55</v>
      </c>
      <c r="AO31" s="1" t="s">
        <v>308</v>
      </c>
      <c r="AP31" s="1" t="s">
        <v>57</v>
      </c>
      <c r="AQ31" s="1" t="s">
        <v>57</v>
      </c>
      <c r="AR31" s="1" t="s">
        <v>57</v>
      </c>
      <c r="AS31" s="1" t="s">
        <v>57</v>
      </c>
      <c r="AT31" s="1" t="s">
        <v>137</v>
      </c>
      <c r="AU31" s="1"/>
    </row>
    <row r="32" spans="1:47" ht="18" customHeight="1" x14ac:dyDescent="0.2">
      <c r="A32" s="13">
        <f t="shared" si="0"/>
        <v>29</v>
      </c>
      <c r="B32" s="28"/>
      <c r="C32" s="27" t="s">
        <v>320</v>
      </c>
      <c r="D32" s="22" t="s">
        <v>321</v>
      </c>
      <c r="E32" s="22" t="s">
        <v>32</v>
      </c>
      <c r="F32" s="22" t="s">
        <v>322</v>
      </c>
      <c r="G32" s="23" t="s">
        <v>326</v>
      </c>
      <c r="H32" s="23" t="s">
        <v>32</v>
      </c>
      <c r="I32" s="23" t="s">
        <v>32</v>
      </c>
      <c r="J32" s="23" t="s">
        <v>32</v>
      </c>
      <c r="K32" s="22" t="s">
        <v>167</v>
      </c>
      <c r="L32" s="22" t="s">
        <v>167</v>
      </c>
      <c r="M32" s="22" t="s">
        <v>32</v>
      </c>
      <c r="N32" s="22" t="s">
        <v>32</v>
      </c>
      <c r="O32" s="23" t="s">
        <v>323</v>
      </c>
      <c r="P32" s="23" t="s">
        <v>59</v>
      </c>
      <c r="Q32" s="22" t="s">
        <v>32</v>
      </c>
      <c r="R32" s="22" t="s">
        <v>32</v>
      </c>
      <c r="S32" s="22" t="s">
        <v>32</v>
      </c>
      <c r="T32" s="23" t="s">
        <v>204</v>
      </c>
      <c r="U32" s="22" t="s">
        <v>32</v>
      </c>
      <c r="V32" s="22" t="s">
        <v>324</v>
      </c>
      <c r="W32" s="23" t="s">
        <v>32</v>
      </c>
      <c r="X32" s="22" t="s">
        <v>59</v>
      </c>
      <c r="Y32" s="22" t="s">
        <v>32</v>
      </c>
      <c r="Z32" s="22">
        <v>9</v>
      </c>
      <c r="AA32" s="22" t="s">
        <v>327</v>
      </c>
      <c r="AB32" s="1" t="s">
        <v>230</v>
      </c>
      <c r="AC32" s="1" t="s">
        <v>328</v>
      </c>
      <c r="AD32" s="1" t="s">
        <v>329</v>
      </c>
      <c r="AE32" s="1" t="s">
        <v>330</v>
      </c>
      <c r="AF32" s="1" t="s">
        <v>331</v>
      </c>
      <c r="AG32" s="1">
        <v>95</v>
      </c>
      <c r="AH32" s="1" t="s">
        <v>332</v>
      </c>
      <c r="AI32" s="1" t="s">
        <v>333</v>
      </c>
      <c r="AJ32" s="1" t="s">
        <v>334</v>
      </c>
      <c r="AK32" s="1" t="s">
        <v>245</v>
      </c>
      <c r="AL32" s="1">
        <v>-273</v>
      </c>
      <c r="AM32" s="1" t="s">
        <v>335</v>
      </c>
      <c r="AN32" s="1" t="s">
        <v>55</v>
      </c>
      <c r="AO32" s="1" t="s">
        <v>336</v>
      </c>
      <c r="AP32" s="1" t="s">
        <v>57</v>
      </c>
      <c r="AQ32" s="1" t="s">
        <v>57</v>
      </c>
      <c r="AR32" s="1" t="s">
        <v>57</v>
      </c>
      <c r="AS32" s="1" t="s">
        <v>57</v>
      </c>
      <c r="AT32" s="1" t="s">
        <v>137</v>
      </c>
      <c r="AU32" s="1"/>
    </row>
    <row r="33" spans="1:47" ht="18" customHeight="1" x14ac:dyDescent="0.2">
      <c r="A33" s="13">
        <f t="shared" si="0"/>
        <v>30</v>
      </c>
      <c r="B33" s="28"/>
      <c r="C33" s="27" t="s">
        <v>320</v>
      </c>
      <c r="D33" s="22" t="s">
        <v>337</v>
      </c>
      <c r="E33" s="22" t="s">
        <v>32</v>
      </c>
      <c r="F33" s="22" t="s">
        <v>322</v>
      </c>
      <c r="G33" s="23" t="s">
        <v>326</v>
      </c>
      <c r="H33" s="23" t="s">
        <v>32</v>
      </c>
      <c r="I33" s="23" t="s">
        <v>32</v>
      </c>
      <c r="J33" s="23" t="s">
        <v>32</v>
      </c>
      <c r="K33" s="22" t="s">
        <v>167</v>
      </c>
      <c r="L33" s="22" t="s">
        <v>167</v>
      </c>
      <c r="M33" s="22" t="s">
        <v>32</v>
      </c>
      <c r="N33" s="22" t="s">
        <v>32</v>
      </c>
      <c r="O33" s="23" t="s">
        <v>323</v>
      </c>
      <c r="P33" s="23" t="s">
        <v>59</v>
      </c>
      <c r="Q33" s="22" t="s">
        <v>32</v>
      </c>
      <c r="R33" s="22" t="s">
        <v>32</v>
      </c>
      <c r="S33" s="22" t="s">
        <v>32</v>
      </c>
      <c r="T33" s="23" t="s">
        <v>204</v>
      </c>
      <c r="U33" s="22" t="s">
        <v>32</v>
      </c>
      <c r="V33" s="22" t="s">
        <v>324</v>
      </c>
      <c r="W33" s="23" t="s">
        <v>32</v>
      </c>
      <c r="X33" s="22" t="s">
        <v>59</v>
      </c>
      <c r="Y33" s="22" t="s">
        <v>32</v>
      </c>
      <c r="Z33" s="22">
        <v>9</v>
      </c>
      <c r="AA33" s="22" t="s">
        <v>327</v>
      </c>
      <c r="AB33" s="1" t="s">
        <v>230</v>
      </c>
      <c r="AC33" s="1" t="s">
        <v>338</v>
      </c>
      <c r="AD33" s="1" t="s">
        <v>339</v>
      </c>
      <c r="AE33" s="1" t="s">
        <v>340</v>
      </c>
      <c r="AF33" s="1" t="s">
        <v>341</v>
      </c>
      <c r="AG33" s="1">
        <v>95</v>
      </c>
      <c r="AH33" s="1" t="s">
        <v>342</v>
      </c>
      <c r="AI33" s="1" t="s">
        <v>343</v>
      </c>
      <c r="AJ33" s="1" t="s">
        <v>334</v>
      </c>
      <c r="AK33" s="1" t="s">
        <v>245</v>
      </c>
      <c r="AL33" s="1">
        <v>-273</v>
      </c>
      <c r="AM33" s="1" t="s">
        <v>335</v>
      </c>
      <c r="AN33" s="1" t="s">
        <v>55</v>
      </c>
      <c r="AO33" s="1" t="s">
        <v>336</v>
      </c>
      <c r="AP33" s="1" t="s">
        <v>57</v>
      </c>
      <c r="AQ33" s="1" t="s">
        <v>57</v>
      </c>
      <c r="AR33" s="1" t="s">
        <v>57</v>
      </c>
      <c r="AS33" s="1" t="s">
        <v>57</v>
      </c>
      <c r="AT33" s="1" t="s">
        <v>137</v>
      </c>
      <c r="AU33" s="1"/>
    </row>
    <row r="34" spans="1:47" ht="18" customHeight="1" x14ac:dyDescent="0.2">
      <c r="A34" s="13">
        <f t="shared" si="0"/>
        <v>31</v>
      </c>
      <c r="B34" s="29" t="s">
        <v>1290</v>
      </c>
      <c r="C34" s="27" t="s">
        <v>1327</v>
      </c>
      <c r="D34" s="22" t="s">
        <v>311</v>
      </c>
      <c r="E34" s="22" t="s">
        <v>32</v>
      </c>
      <c r="F34" s="22" t="s">
        <v>344</v>
      </c>
      <c r="G34" s="23" t="s">
        <v>32</v>
      </c>
      <c r="H34" s="23" t="s">
        <v>32</v>
      </c>
      <c r="I34" s="23" t="s">
        <v>32</v>
      </c>
      <c r="J34" s="23" t="s">
        <v>32</v>
      </c>
      <c r="K34" s="22" t="s">
        <v>182</v>
      </c>
      <c r="L34" s="22" t="s">
        <v>259</v>
      </c>
      <c r="M34" s="22" t="s">
        <v>32</v>
      </c>
      <c r="N34" s="22" t="s">
        <v>32</v>
      </c>
      <c r="O34" s="23" t="s">
        <v>169</v>
      </c>
      <c r="P34" s="23" t="s">
        <v>40</v>
      </c>
      <c r="Q34" s="22" t="s">
        <v>98</v>
      </c>
      <c r="R34" s="22" t="s">
        <v>32</v>
      </c>
      <c r="S34" s="22" t="s">
        <v>32</v>
      </c>
      <c r="T34" s="23" t="s">
        <v>250</v>
      </c>
      <c r="U34" s="22" t="s">
        <v>226</v>
      </c>
      <c r="V34" s="22" t="s">
        <v>32</v>
      </c>
      <c r="W34" s="23" t="s">
        <v>32</v>
      </c>
      <c r="X34" s="22" t="s">
        <v>98</v>
      </c>
      <c r="Y34" s="22" t="s">
        <v>32</v>
      </c>
      <c r="Z34" s="22">
        <v>10.95</v>
      </c>
      <c r="AA34" s="22" t="s">
        <v>205</v>
      </c>
      <c r="AB34" s="1" t="s">
        <v>251</v>
      </c>
      <c r="AC34" s="1" t="s">
        <v>103</v>
      </c>
      <c r="AD34" s="1" t="s">
        <v>345</v>
      </c>
      <c r="AE34" s="1" t="s">
        <v>48</v>
      </c>
      <c r="AF34" s="1" t="s">
        <v>254</v>
      </c>
      <c r="AG34" s="1">
        <v>75</v>
      </c>
      <c r="AH34" s="1" t="s">
        <v>346</v>
      </c>
      <c r="AI34" s="1" t="s">
        <v>51</v>
      </c>
      <c r="AJ34" s="1" t="s">
        <v>256</v>
      </c>
      <c r="AK34" s="1" t="s">
        <v>74</v>
      </c>
      <c r="AL34" s="1">
        <v>-273</v>
      </c>
      <c r="AM34" s="1" t="s">
        <v>257</v>
      </c>
      <c r="AN34" s="1" t="s">
        <v>55</v>
      </c>
      <c r="AO34" s="1" t="s">
        <v>347</v>
      </c>
      <c r="AP34" s="1" t="s">
        <v>57</v>
      </c>
      <c r="AQ34" s="1" t="s">
        <v>57</v>
      </c>
      <c r="AR34" s="1" t="s">
        <v>57</v>
      </c>
      <c r="AS34" s="1" t="s">
        <v>57</v>
      </c>
      <c r="AT34" s="1" t="s">
        <v>137</v>
      </c>
      <c r="AU34" s="1"/>
    </row>
    <row r="35" spans="1:47" ht="18" customHeight="1" x14ac:dyDescent="0.2">
      <c r="A35" s="13">
        <f t="shared" si="0"/>
        <v>32</v>
      </c>
      <c r="B35" s="29" t="s">
        <v>1315</v>
      </c>
      <c r="C35" s="27" t="s">
        <v>1328</v>
      </c>
      <c r="D35" s="22" t="s">
        <v>337</v>
      </c>
      <c r="E35" s="22" t="s">
        <v>32</v>
      </c>
      <c r="F35" s="22" t="s">
        <v>348</v>
      </c>
      <c r="G35" s="23" t="s">
        <v>32</v>
      </c>
      <c r="H35" s="23" t="s">
        <v>32</v>
      </c>
      <c r="I35" s="23" t="s">
        <v>32</v>
      </c>
      <c r="J35" s="23" t="s">
        <v>32</v>
      </c>
      <c r="K35" s="22" t="s">
        <v>185</v>
      </c>
      <c r="L35" s="22" t="s">
        <v>167</v>
      </c>
      <c r="M35" s="22" t="s">
        <v>32</v>
      </c>
      <c r="N35" s="22" t="s">
        <v>32</v>
      </c>
      <c r="O35" s="23" t="s">
        <v>169</v>
      </c>
      <c r="P35" s="23" t="s">
        <v>59</v>
      </c>
      <c r="Q35" s="22" t="s">
        <v>32</v>
      </c>
      <c r="R35" s="22" t="s">
        <v>32</v>
      </c>
      <c r="S35" s="22" t="s">
        <v>32</v>
      </c>
      <c r="T35" s="23" t="s">
        <v>184</v>
      </c>
      <c r="U35" s="22" t="s">
        <v>32</v>
      </c>
      <c r="V35" s="22" t="s">
        <v>167</v>
      </c>
      <c r="W35" s="23" t="s">
        <v>32</v>
      </c>
      <c r="X35" s="22" t="s">
        <v>59</v>
      </c>
      <c r="Y35" s="22" t="s">
        <v>32</v>
      </c>
      <c r="Z35" s="22">
        <v>6.2</v>
      </c>
      <c r="AA35" s="22" t="s">
        <v>153</v>
      </c>
      <c r="AB35" s="1" t="s">
        <v>45</v>
      </c>
      <c r="AC35" s="1" t="s">
        <v>349</v>
      </c>
      <c r="AD35" s="1" t="s">
        <v>350</v>
      </c>
      <c r="AE35" s="1" t="s">
        <v>351</v>
      </c>
      <c r="AF35" s="1" t="s">
        <v>352</v>
      </c>
      <c r="AG35" s="1">
        <v>83</v>
      </c>
      <c r="AH35" s="1" t="s">
        <v>353</v>
      </c>
      <c r="AI35" s="1" t="s">
        <v>354</v>
      </c>
      <c r="AJ35" s="1" t="s">
        <v>355</v>
      </c>
      <c r="AK35" s="1" t="s">
        <v>74</v>
      </c>
      <c r="AL35" s="1">
        <v>-273</v>
      </c>
      <c r="AM35" s="1" t="s">
        <v>356</v>
      </c>
      <c r="AN35" s="1" t="s">
        <v>55</v>
      </c>
      <c r="AO35" s="1" t="s">
        <v>357</v>
      </c>
      <c r="AP35" s="1" t="s">
        <v>57</v>
      </c>
      <c r="AQ35" s="1" t="s">
        <v>57</v>
      </c>
      <c r="AR35" s="1" t="s">
        <v>57</v>
      </c>
      <c r="AS35" s="1" t="s">
        <v>57</v>
      </c>
      <c r="AT35" s="1" t="s">
        <v>137</v>
      </c>
      <c r="AU35" s="1"/>
    </row>
    <row r="36" spans="1:47" ht="18" customHeight="1" x14ac:dyDescent="0.2">
      <c r="A36" s="13">
        <f t="shared" si="0"/>
        <v>33</v>
      </c>
      <c r="B36" s="29" t="s">
        <v>1315</v>
      </c>
      <c r="C36" s="27" t="s">
        <v>1328</v>
      </c>
      <c r="D36" s="22" t="s">
        <v>117</v>
      </c>
      <c r="E36" s="22" t="s">
        <v>32</v>
      </c>
      <c r="F36" s="22" t="s">
        <v>348</v>
      </c>
      <c r="G36" s="23" t="s">
        <v>32</v>
      </c>
      <c r="H36" s="23" t="s">
        <v>32</v>
      </c>
      <c r="I36" s="23" t="s">
        <v>32</v>
      </c>
      <c r="J36" s="23" t="s">
        <v>32</v>
      </c>
      <c r="K36" s="22" t="s">
        <v>185</v>
      </c>
      <c r="L36" s="22" t="s">
        <v>167</v>
      </c>
      <c r="M36" s="22" t="s">
        <v>32</v>
      </c>
      <c r="N36" s="22" t="s">
        <v>32</v>
      </c>
      <c r="O36" s="23" t="s">
        <v>169</v>
      </c>
      <c r="P36" s="23" t="s">
        <v>59</v>
      </c>
      <c r="Q36" s="22" t="s">
        <v>32</v>
      </c>
      <c r="R36" s="22" t="s">
        <v>32</v>
      </c>
      <c r="S36" s="22" t="s">
        <v>32</v>
      </c>
      <c r="T36" s="23" t="s">
        <v>184</v>
      </c>
      <c r="U36" s="22" t="s">
        <v>32</v>
      </c>
      <c r="V36" s="22" t="s">
        <v>167</v>
      </c>
      <c r="W36" s="23" t="s">
        <v>32</v>
      </c>
      <c r="X36" s="22" t="s">
        <v>59</v>
      </c>
      <c r="Y36" s="22" t="s">
        <v>32</v>
      </c>
      <c r="Z36" s="22">
        <v>6.2</v>
      </c>
      <c r="AA36" s="22" t="s">
        <v>153</v>
      </c>
      <c r="AB36" s="1" t="s">
        <v>45</v>
      </c>
      <c r="AC36" s="1" t="s">
        <v>358</v>
      </c>
      <c r="AD36" s="1" t="s">
        <v>359</v>
      </c>
      <c r="AE36" s="1" t="s">
        <v>48</v>
      </c>
      <c r="AF36" s="1" t="s">
        <v>190</v>
      </c>
      <c r="AG36" s="1">
        <v>83</v>
      </c>
      <c r="AH36" s="1" t="s">
        <v>50</v>
      </c>
      <c r="AI36" s="1" t="s">
        <v>51</v>
      </c>
      <c r="AJ36" s="1" t="s">
        <v>355</v>
      </c>
      <c r="AK36" s="1" t="s">
        <v>74</v>
      </c>
      <c r="AL36" s="1">
        <v>-273</v>
      </c>
      <c r="AM36" s="1" t="s">
        <v>356</v>
      </c>
      <c r="AN36" s="1" t="s">
        <v>55</v>
      </c>
      <c r="AO36" s="1" t="s">
        <v>357</v>
      </c>
      <c r="AP36" s="1" t="s">
        <v>57</v>
      </c>
      <c r="AQ36" s="1" t="s">
        <v>57</v>
      </c>
      <c r="AR36" s="1" t="s">
        <v>57</v>
      </c>
      <c r="AS36" s="1" t="s">
        <v>57</v>
      </c>
      <c r="AT36" s="1" t="s">
        <v>137</v>
      </c>
      <c r="AU36" s="1"/>
    </row>
    <row r="37" spans="1:47" ht="18" customHeight="1" x14ac:dyDescent="0.2">
      <c r="A37" s="13">
        <f t="shared" si="0"/>
        <v>34</v>
      </c>
      <c r="B37" s="28"/>
      <c r="C37" s="27" t="s">
        <v>360</v>
      </c>
      <c r="D37" s="22" t="s">
        <v>294</v>
      </c>
      <c r="E37" s="22" t="s">
        <v>32</v>
      </c>
      <c r="F37" s="22" t="s">
        <v>348</v>
      </c>
      <c r="G37" s="23" t="s">
        <v>32</v>
      </c>
      <c r="H37" s="23" t="s">
        <v>32</v>
      </c>
      <c r="I37" s="23" t="s">
        <v>32</v>
      </c>
      <c r="J37" s="23" t="s">
        <v>32</v>
      </c>
      <c r="K37" s="22" t="s">
        <v>185</v>
      </c>
      <c r="L37" s="22" t="s">
        <v>167</v>
      </c>
      <c r="M37" s="22" t="s">
        <v>32</v>
      </c>
      <c r="N37" s="22" t="s">
        <v>32</v>
      </c>
      <c r="O37" s="23" t="s">
        <v>169</v>
      </c>
      <c r="P37" s="23" t="s">
        <v>59</v>
      </c>
      <c r="Q37" s="22" t="s">
        <v>32</v>
      </c>
      <c r="R37" s="22" t="s">
        <v>32</v>
      </c>
      <c r="S37" s="22" t="s">
        <v>32</v>
      </c>
      <c r="T37" s="23" t="s">
        <v>184</v>
      </c>
      <c r="U37" s="22" t="s">
        <v>32</v>
      </c>
      <c r="V37" s="22" t="s">
        <v>167</v>
      </c>
      <c r="W37" s="23" t="s">
        <v>32</v>
      </c>
      <c r="X37" s="22" t="s">
        <v>59</v>
      </c>
      <c r="Y37" s="22" t="s">
        <v>32</v>
      </c>
      <c r="Z37" s="22">
        <v>6.2</v>
      </c>
      <c r="AA37" s="22" t="s">
        <v>361</v>
      </c>
      <c r="AB37" s="1" t="s">
        <v>362</v>
      </c>
      <c r="AC37" s="1" t="s">
        <v>363</v>
      </c>
      <c r="AD37" s="1" t="s">
        <v>364</v>
      </c>
      <c r="AE37" s="1" t="s">
        <v>365</v>
      </c>
      <c r="AF37" s="1" t="s">
        <v>366</v>
      </c>
      <c r="AG37" s="1">
        <v>83</v>
      </c>
      <c r="AH37" s="1" t="s">
        <v>367</v>
      </c>
      <c r="AI37" s="1" t="s">
        <v>244</v>
      </c>
      <c r="AJ37" s="1" t="s">
        <v>368</v>
      </c>
      <c r="AK37" s="1" t="s">
        <v>74</v>
      </c>
      <c r="AL37" s="1">
        <v>-273</v>
      </c>
      <c r="AM37" s="1" t="s">
        <v>246</v>
      </c>
      <c r="AN37" s="1" t="s">
        <v>180</v>
      </c>
      <c r="AO37" s="1" t="s">
        <v>369</v>
      </c>
      <c r="AP37" s="1" t="s">
        <v>57</v>
      </c>
      <c r="AQ37" s="1" t="s">
        <v>57</v>
      </c>
      <c r="AR37" s="1" t="s">
        <v>57</v>
      </c>
      <c r="AS37" s="1" t="s">
        <v>57</v>
      </c>
      <c r="AT37" s="1" t="s">
        <v>137</v>
      </c>
      <c r="AU37" s="1"/>
    </row>
    <row r="38" spans="1:47" ht="18" customHeight="1" x14ac:dyDescent="0.2">
      <c r="A38" s="13">
        <f t="shared" si="0"/>
        <v>35</v>
      </c>
      <c r="B38" s="29" t="s">
        <v>1329</v>
      </c>
      <c r="C38" s="27" t="s">
        <v>1331</v>
      </c>
      <c r="D38" s="22" t="s">
        <v>311</v>
      </c>
      <c r="E38" s="22" t="s">
        <v>32</v>
      </c>
      <c r="F38" s="22" t="s">
        <v>371</v>
      </c>
      <c r="G38" s="23" t="s">
        <v>32</v>
      </c>
      <c r="H38" s="23" t="s">
        <v>32</v>
      </c>
      <c r="I38" s="23" t="s">
        <v>32</v>
      </c>
      <c r="J38" s="23" t="s">
        <v>226</v>
      </c>
      <c r="K38" s="22" t="s">
        <v>125</v>
      </c>
      <c r="L38" s="22" t="s">
        <v>259</v>
      </c>
      <c r="M38" s="22" t="s">
        <v>32</v>
      </c>
      <c r="N38" s="22" t="s">
        <v>32</v>
      </c>
      <c r="O38" s="23" t="s">
        <v>372</v>
      </c>
      <c r="P38" s="23" t="s">
        <v>370</v>
      </c>
      <c r="Q38" s="22" t="s">
        <v>370</v>
      </c>
      <c r="R38" s="22" t="s">
        <v>40</v>
      </c>
      <c r="S38" s="22" t="s">
        <v>32</v>
      </c>
      <c r="T38" s="23" t="s">
        <v>373</v>
      </c>
      <c r="U38" s="22" t="s">
        <v>42</v>
      </c>
      <c r="V38" s="22" t="s">
        <v>42</v>
      </c>
      <c r="W38" s="23" t="s">
        <v>32</v>
      </c>
      <c r="X38" s="22" t="s">
        <v>33</v>
      </c>
      <c r="Y38" s="22" t="s">
        <v>32</v>
      </c>
      <c r="Z38" s="22">
        <v>12.25</v>
      </c>
      <c r="AA38" s="22" t="s">
        <v>385</v>
      </c>
      <c r="AB38" s="1" t="s">
        <v>375</v>
      </c>
      <c r="AC38" s="1" t="s">
        <v>376</v>
      </c>
      <c r="AD38" s="1" t="s">
        <v>377</v>
      </c>
      <c r="AE38" s="1" t="s">
        <v>378</v>
      </c>
      <c r="AF38" s="1" t="s">
        <v>120</v>
      </c>
      <c r="AG38" s="1">
        <v>97</v>
      </c>
      <c r="AH38" s="1" t="s">
        <v>379</v>
      </c>
      <c r="AI38" s="1" t="s">
        <v>389</v>
      </c>
      <c r="AJ38" s="1" t="s">
        <v>282</v>
      </c>
      <c r="AK38" s="1" t="s">
        <v>74</v>
      </c>
      <c r="AL38" s="1">
        <v>-273</v>
      </c>
      <c r="AM38" s="1" t="s">
        <v>380</v>
      </c>
      <c r="AN38" s="1" t="s">
        <v>55</v>
      </c>
      <c r="AO38" s="1" t="s">
        <v>381</v>
      </c>
      <c r="AP38" s="1" t="s">
        <v>57</v>
      </c>
      <c r="AQ38" s="1" t="s">
        <v>57</v>
      </c>
      <c r="AR38" s="1" t="s">
        <v>57</v>
      </c>
      <c r="AS38" s="1" t="s">
        <v>57</v>
      </c>
      <c r="AT38" s="1" t="s">
        <v>137</v>
      </c>
      <c r="AU38" s="1"/>
    </row>
    <row r="39" spans="1:47" ht="18" customHeight="1" x14ac:dyDescent="0.2">
      <c r="A39" s="13">
        <f t="shared" si="0"/>
        <v>36</v>
      </c>
      <c r="B39" s="29" t="s">
        <v>1330</v>
      </c>
      <c r="C39" s="27" t="s">
        <v>1331</v>
      </c>
      <c r="D39" s="22" t="s">
        <v>311</v>
      </c>
      <c r="E39" s="22" t="s">
        <v>32</v>
      </c>
      <c r="F39" s="22" t="s">
        <v>382</v>
      </c>
      <c r="G39" s="23" t="s">
        <v>32</v>
      </c>
      <c r="H39" s="23" t="s">
        <v>32</v>
      </c>
      <c r="I39" s="23" t="s">
        <v>32</v>
      </c>
      <c r="J39" s="23" t="s">
        <v>59</v>
      </c>
      <c r="K39" s="22" t="s">
        <v>384</v>
      </c>
      <c r="L39" s="22" t="s">
        <v>259</v>
      </c>
      <c r="M39" s="22" t="s">
        <v>32</v>
      </c>
      <c r="N39" s="22" t="s">
        <v>32</v>
      </c>
      <c r="O39" s="23" t="s">
        <v>40</v>
      </c>
      <c r="P39" s="23" t="s">
        <v>370</v>
      </c>
      <c r="Q39" s="22" t="s">
        <v>273</v>
      </c>
      <c r="R39" s="22" t="s">
        <v>167</v>
      </c>
      <c r="S39" s="22" t="s">
        <v>32</v>
      </c>
      <c r="T39" s="23" t="s">
        <v>383</v>
      </c>
      <c r="U39" s="22" t="s">
        <v>59</v>
      </c>
      <c r="V39" s="22" t="s">
        <v>167</v>
      </c>
      <c r="W39" s="23" t="s">
        <v>32</v>
      </c>
      <c r="X39" s="22" t="s">
        <v>370</v>
      </c>
      <c r="Y39" s="22" t="s">
        <v>32</v>
      </c>
      <c r="Z39" s="22">
        <v>14.5</v>
      </c>
      <c r="AA39" s="22" t="s">
        <v>386</v>
      </c>
      <c r="AB39" s="1" t="s">
        <v>387</v>
      </c>
      <c r="AC39" s="1" t="s">
        <v>376</v>
      </c>
      <c r="AD39" s="1" t="s">
        <v>377</v>
      </c>
      <c r="AE39" s="1" t="s">
        <v>378</v>
      </c>
      <c r="AF39" s="1" t="s">
        <v>116</v>
      </c>
      <c r="AG39" s="1">
        <v>97</v>
      </c>
      <c r="AH39" s="1" t="s">
        <v>388</v>
      </c>
      <c r="AI39" s="1" t="s">
        <v>133</v>
      </c>
      <c r="AJ39" s="1" t="s">
        <v>390</v>
      </c>
      <c r="AK39" s="1" t="s">
        <v>74</v>
      </c>
      <c r="AL39" s="1">
        <v>-273</v>
      </c>
      <c r="AM39" s="1" t="s">
        <v>391</v>
      </c>
      <c r="AN39" s="1" t="s">
        <v>392</v>
      </c>
      <c r="AO39" s="1" t="s">
        <v>393</v>
      </c>
      <c r="AP39" s="1" t="s">
        <v>57</v>
      </c>
      <c r="AQ39" s="1" t="s">
        <v>57</v>
      </c>
      <c r="AR39" s="1" t="s">
        <v>57</v>
      </c>
      <c r="AS39" s="1" t="s">
        <v>57</v>
      </c>
      <c r="AT39" s="1" t="s">
        <v>137</v>
      </c>
      <c r="AU39" s="1"/>
    </row>
    <row r="40" spans="1:47" ht="18" customHeight="1" x14ac:dyDescent="0.2">
      <c r="A40" s="13">
        <f t="shared" si="0"/>
        <v>37</v>
      </c>
      <c r="B40" s="29" t="s">
        <v>1292</v>
      </c>
      <c r="C40" s="27">
        <v>413</v>
      </c>
      <c r="D40" s="22" t="s">
        <v>311</v>
      </c>
      <c r="E40" s="22" t="s">
        <v>32</v>
      </c>
      <c r="F40" s="22" t="s">
        <v>394</v>
      </c>
      <c r="G40" s="23" t="s">
        <v>32</v>
      </c>
      <c r="H40" s="23" t="s">
        <v>32</v>
      </c>
      <c r="I40" s="23" t="s">
        <v>32</v>
      </c>
      <c r="J40" s="23" t="s">
        <v>32</v>
      </c>
      <c r="K40" s="22" t="s">
        <v>97</v>
      </c>
      <c r="L40" s="22" t="s">
        <v>248</v>
      </c>
      <c r="M40" s="22" t="s">
        <v>32</v>
      </c>
      <c r="N40" s="22" t="s">
        <v>32</v>
      </c>
      <c r="O40" s="23" t="s">
        <v>59</v>
      </c>
      <c r="P40" s="23" t="s">
        <v>40</v>
      </c>
      <c r="Q40" s="22" t="s">
        <v>98</v>
      </c>
      <c r="R40" s="22" t="s">
        <v>32</v>
      </c>
      <c r="S40" s="22" t="s">
        <v>32</v>
      </c>
      <c r="T40" s="23" t="s">
        <v>152</v>
      </c>
      <c r="U40" s="22" t="s">
        <v>226</v>
      </c>
      <c r="V40" s="22" t="s">
        <v>32</v>
      </c>
      <c r="W40" s="23" t="s">
        <v>32</v>
      </c>
      <c r="X40" s="22" t="s">
        <v>98</v>
      </c>
      <c r="Y40" s="22" t="s">
        <v>32</v>
      </c>
      <c r="Z40" s="22">
        <v>13.45</v>
      </c>
      <c r="AA40" s="22" t="s">
        <v>395</v>
      </c>
      <c r="AB40" s="1" t="s">
        <v>251</v>
      </c>
      <c r="AC40" s="1" t="s">
        <v>396</v>
      </c>
      <c r="AD40" s="1" t="s">
        <v>397</v>
      </c>
      <c r="AE40" s="1" t="s">
        <v>302</v>
      </c>
      <c r="AF40" s="1" t="s">
        <v>208</v>
      </c>
      <c r="AG40" s="1">
        <v>80</v>
      </c>
      <c r="AH40" s="1" t="s">
        <v>398</v>
      </c>
      <c r="AI40" s="1" t="s">
        <v>305</v>
      </c>
      <c r="AJ40" s="1" t="s">
        <v>390</v>
      </c>
      <c r="AK40" s="1" t="s">
        <v>74</v>
      </c>
      <c r="AL40" s="1">
        <v>-273</v>
      </c>
      <c r="AM40" s="1" t="s">
        <v>93</v>
      </c>
      <c r="AN40" s="1" t="s">
        <v>55</v>
      </c>
      <c r="AO40" s="1" t="s">
        <v>399</v>
      </c>
      <c r="AP40" s="1" t="s">
        <v>57</v>
      </c>
      <c r="AQ40" s="1" t="s">
        <v>57</v>
      </c>
      <c r="AR40" s="1" t="s">
        <v>57</v>
      </c>
      <c r="AS40" s="1" t="s">
        <v>57</v>
      </c>
      <c r="AT40" s="1" t="s">
        <v>137</v>
      </c>
      <c r="AU40" s="1"/>
    </row>
    <row r="41" spans="1:47" ht="18" customHeight="1" x14ac:dyDescent="0.2">
      <c r="A41" s="13">
        <f t="shared" si="0"/>
        <v>38</v>
      </c>
      <c r="B41" s="28"/>
      <c r="C41" s="27" t="s">
        <v>400</v>
      </c>
      <c r="D41" s="22" t="s">
        <v>310</v>
      </c>
      <c r="E41" s="22" t="s">
        <v>32</v>
      </c>
      <c r="F41" s="22" t="s">
        <v>402</v>
      </c>
      <c r="G41" s="23" t="s">
        <v>32</v>
      </c>
      <c r="H41" s="23" t="s">
        <v>32</v>
      </c>
      <c r="I41" s="23" t="s">
        <v>32</v>
      </c>
      <c r="J41" s="23" t="s">
        <v>42</v>
      </c>
      <c r="K41" s="22" t="s">
        <v>182</v>
      </c>
      <c r="L41" s="22" t="s">
        <v>401</v>
      </c>
      <c r="M41" s="22" t="s">
        <v>32</v>
      </c>
      <c r="N41" s="22" t="s">
        <v>32</v>
      </c>
      <c r="O41" s="23" t="s">
        <v>39</v>
      </c>
      <c r="P41" s="23" t="s">
        <v>98</v>
      </c>
      <c r="Q41" s="22" t="s">
        <v>32</v>
      </c>
      <c r="R41" s="22" t="s">
        <v>32</v>
      </c>
      <c r="S41" s="22" t="s">
        <v>32</v>
      </c>
      <c r="T41" s="23" t="s">
        <v>403</v>
      </c>
      <c r="U41" s="22" t="s">
        <v>32</v>
      </c>
      <c r="V41" s="22" t="s">
        <v>42</v>
      </c>
      <c r="W41" s="23" t="s">
        <v>32</v>
      </c>
      <c r="X41" s="22" t="s">
        <v>98</v>
      </c>
      <c r="Y41" s="22" t="s">
        <v>32</v>
      </c>
      <c r="Z41" s="22">
        <v>6.8</v>
      </c>
      <c r="AA41" s="22" t="s">
        <v>205</v>
      </c>
      <c r="AB41" s="1" t="s">
        <v>251</v>
      </c>
      <c r="AC41" s="1" t="s">
        <v>404</v>
      </c>
      <c r="AD41" s="1" t="s">
        <v>405</v>
      </c>
      <c r="AE41" s="1" t="s">
        <v>406</v>
      </c>
      <c r="AF41" s="1" t="s">
        <v>407</v>
      </c>
      <c r="AG41" s="1">
        <v>41</v>
      </c>
      <c r="AH41" s="1" t="s">
        <v>408</v>
      </c>
      <c r="AI41" s="1" t="s">
        <v>409</v>
      </c>
      <c r="AJ41" s="1" t="s">
        <v>410</v>
      </c>
      <c r="AK41" s="1" t="s">
        <v>74</v>
      </c>
      <c r="AL41" s="1">
        <v>-273</v>
      </c>
      <c r="AM41" s="1" t="s">
        <v>411</v>
      </c>
      <c r="AN41" s="1" t="s">
        <v>55</v>
      </c>
      <c r="AO41" s="1" t="s">
        <v>412</v>
      </c>
      <c r="AP41" s="1" t="s">
        <v>57</v>
      </c>
      <c r="AQ41" s="1" t="s">
        <v>57</v>
      </c>
      <c r="AR41" s="1" t="s">
        <v>57</v>
      </c>
      <c r="AS41" s="1" t="s">
        <v>57</v>
      </c>
      <c r="AT41" s="1" t="s">
        <v>137</v>
      </c>
      <c r="AU41" s="1"/>
    </row>
    <row r="42" spans="1:47" ht="18" customHeight="1" x14ac:dyDescent="0.2">
      <c r="A42" s="13">
        <f t="shared" si="0"/>
        <v>39</v>
      </c>
      <c r="B42" s="29" t="s">
        <v>413</v>
      </c>
      <c r="C42" s="27"/>
      <c r="D42" s="22" t="s">
        <v>311</v>
      </c>
      <c r="E42" s="22" t="s">
        <v>32</v>
      </c>
      <c r="F42" s="22" t="s">
        <v>414</v>
      </c>
      <c r="G42" s="23" t="s">
        <v>32</v>
      </c>
      <c r="H42" s="23" t="s">
        <v>32</v>
      </c>
      <c r="I42" s="23" t="s">
        <v>32</v>
      </c>
      <c r="J42" s="23" t="s">
        <v>32</v>
      </c>
      <c r="K42" s="22" t="s">
        <v>59</v>
      </c>
      <c r="L42" s="22" t="s">
        <v>97</v>
      </c>
      <c r="M42" s="22" t="s">
        <v>32</v>
      </c>
      <c r="N42" s="22" t="s">
        <v>32</v>
      </c>
      <c r="O42" s="23" t="s">
        <v>32</v>
      </c>
      <c r="P42" s="23" t="s">
        <v>370</v>
      </c>
      <c r="Q42" s="22" t="s">
        <v>32</v>
      </c>
      <c r="R42" s="22" t="s">
        <v>32</v>
      </c>
      <c r="S42" s="22" t="s">
        <v>32</v>
      </c>
      <c r="T42" s="23" t="s">
        <v>383</v>
      </c>
      <c r="U42" s="22" t="s">
        <v>32</v>
      </c>
      <c r="V42" s="22" t="s">
        <v>226</v>
      </c>
      <c r="W42" s="23" t="s">
        <v>32</v>
      </c>
      <c r="X42" s="22" t="s">
        <v>226</v>
      </c>
      <c r="Y42" s="22" t="s">
        <v>32</v>
      </c>
      <c r="Z42" s="22">
        <v>14.05</v>
      </c>
      <c r="AA42" s="22" t="s">
        <v>327</v>
      </c>
      <c r="AB42" s="1" t="s">
        <v>387</v>
      </c>
      <c r="AC42" s="1" t="s">
        <v>286</v>
      </c>
      <c r="AD42" s="1" t="s">
        <v>377</v>
      </c>
      <c r="AE42" s="1" t="s">
        <v>130</v>
      </c>
      <c r="AF42" s="1" t="s">
        <v>415</v>
      </c>
      <c r="AG42" s="1">
        <v>68</v>
      </c>
      <c r="AH42" s="1" t="s">
        <v>388</v>
      </c>
      <c r="AI42" s="1" t="s">
        <v>133</v>
      </c>
      <c r="AJ42" s="1" t="s">
        <v>416</v>
      </c>
      <c r="AK42" s="1" t="s">
        <v>53</v>
      </c>
      <c r="AL42" s="1">
        <v>-273</v>
      </c>
      <c r="AM42" s="1" t="s">
        <v>417</v>
      </c>
      <c r="AN42" s="1" t="s">
        <v>55</v>
      </c>
      <c r="AO42" s="1" t="s">
        <v>393</v>
      </c>
      <c r="AP42" s="1" t="s">
        <v>57</v>
      </c>
      <c r="AQ42" s="1" t="s">
        <v>57</v>
      </c>
      <c r="AR42" s="1" t="s">
        <v>57</v>
      </c>
      <c r="AS42" s="1" t="s">
        <v>57</v>
      </c>
      <c r="AT42" s="1" t="s">
        <v>137</v>
      </c>
      <c r="AU42" s="1"/>
    </row>
    <row r="43" spans="1:47" ht="18" customHeight="1" x14ac:dyDescent="0.2">
      <c r="A43" s="13">
        <f t="shared" si="0"/>
        <v>40</v>
      </c>
      <c r="B43" s="29" t="s">
        <v>1332</v>
      </c>
      <c r="C43" s="27" t="s">
        <v>1333</v>
      </c>
      <c r="D43" s="22" t="s">
        <v>310</v>
      </c>
      <c r="E43" s="22" t="s">
        <v>32</v>
      </c>
      <c r="F43" s="22" t="s">
        <v>419</v>
      </c>
      <c r="G43" s="23" t="s">
        <v>32</v>
      </c>
      <c r="H43" s="23" t="s">
        <v>32</v>
      </c>
      <c r="I43" s="23" t="s">
        <v>32</v>
      </c>
      <c r="J43" s="23" t="s">
        <v>32</v>
      </c>
      <c r="K43" s="22" t="s">
        <v>32</v>
      </c>
      <c r="L43" s="22" t="s">
        <v>98</v>
      </c>
      <c r="M43" s="22" t="s">
        <v>32</v>
      </c>
      <c r="N43" s="22" t="s">
        <v>32</v>
      </c>
      <c r="O43" s="23" t="s">
        <v>418</v>
      </c>
      <c r="P43" s="23" t="s">
        <v>40</v>
      </c>
      <c r="Q43" s="22" t="s">
        <v>32</v>
      </c>
      <c r="R43" s="22" t="s">
        <v>32</v>
      </c>
      <c r="S43" s="22" t="s">
        <v>32</v>
      </c>
      <c r="T43" s="23" t="s">
        <v>40</v>
      </c>
      <c r="U43" s="22" t="s">
        <v>32</v>
      </c>
      <c r="V43" s="22" t="s">
        <v>42</v>
      </c>
      <c r="W43" s="23" t="s">
        <v>32</v>
      </c>
      <c r="X43" s="22" t="s">
        <v>226</v>
      </c>
      <c r="Y43" s="22" t="s">
        <v>32</v>
      </c>
      <c r="Z43" s="22">
        <v>5.2</v>
      </c>
      <c r="AA43" s="22" t="s">
        <v>395</v>
      </c>
      <c r="AB43" s="1" t="s">
        <v>251</v>
      </c>
      <c r="AC43" s="1" t="s">
        <v>420</v>
      </c>
      <c r="AD43" s="1" t="s">
        <v>421</v>
      </c>
      <c r="AE43" s="1" t="s">
        <v>422</v>
      </c>
      <c r="AF43" s="1" t="s">
        <v>316</v>
      </c>
      <c r="AG43" s="1">
        <v>50</v>
      </c>
      <c r="AH43" s="1" t="s">
        <v>423</v>
      </c>
      <c r="AI43" s="1" t="s">
        <v>424</v>
      </c>
      <c r="AJ43" s="1" t="s">
        <v>425</v>
      </c>
      <c r="AK43" s="1" t="s">
        <v>426</v>
      </c>
      <c r="AL43" s="1">
        <v>-273</v>
      </c>
      <c r="AM43" s="1" t="s">
        <v>427</v>
      </c>
      <c r="AN43" s="1" t="s">
        <v>55</v>
      </c>
      <c r="AO43" s="1" t="s">
        <v>428</v>
      </c>
      <c r="AP43" s="1" t="s">
        <v>57</v>
      </c>
      <c r="AQ43" s="1" t="s">
        <v>57</v>
      </c>
      <c r="AR43" s="1" t="s">
        <v>57</v>
      </c>
      <c r="AS43" s="1" t="s">
        <v>57</v>
      </c>
      <c r="AT43" s="1" t="s">
        <v>78</v>
      </c>
      <c r="AU43" s="1"/>
    </row>
    <row r="44" spans="1:47" ht="18" customHeight="1" x14ac:dyDescent="0.2">
      <c r="A44" s="13">
        <f t="shared" si="0"/>
        <v>41</v>
      </c>
      <c r="B44" s="28"/>
      <c r="C44" s="27" t="s">
        <v>429</v>
      </c>
      <c r="D44" s="22" t="s">
        <v>311</v>
      </c>
      <c r="E44" s="22" t="s">
        <v>32</v>
      </c>
      <c r="F44" s="22" t="s">
        <v>431</v>
      </c>
      <c r="G44" s="23" t="s">
        <v>32</v>
      </c>
      <c r="H44" s="23" t="s">
        <v>32</v>
      </c>
      <c r="I44" s="23" t="s">
        <v>32</v>
      </c>
      <c r="J44" s="23" t="s">
        <v>32</v>
      </c>
      <c r="K44" s="22" t="s">
        <v>40</v>
      </c>
      <c r="L44" s="22" t="s">
        <v>430</v>
      </c>
      <c r="M44" s="22" t="s">
        <v>32</v>
      </c>
      <c r="N44" s="22" t="s">
        <v>32</v>
      </c>
      <c r="O44" s="23" t="s">
        <v>432</v>
      </c>
      <c r="P44" s="23" t="s">
        <v>40</v>
      </c>
      <c r="Q44" s="22" t="s">
        <v>226</v>
      </c>
      <c r="R44" s="22" t="s">
        <v>32</v>
      </c>
      <c r="S44" s="22" t="s">
        <v>32</v>
      </c>
      <c r="T44" s="23" t="s">
        <v>40</v>
      </c>
      <c r="U44" s="22" t="s">
        <v>226</v>
      </c>
      <c r="V44" s="22" t="s">
        <v>32</v>
      </c>
      <c r="W44" s="23" t="s">
        <v>32</v>
      </c>
      <c r="X44" s="22" t="s">
        <v>226</v>
      </c>
      <c r="Y44" s="22" t="s">
        <v>32</v>
      </c>
      <c r="Z44" s="22">
        <v>9.1999999999999993</v>
      </c>
      <c r="AA44" s="22" t="s">
        <v>433</v>
      </c>
      <c r="AB44" s="1" t="s">
        <v>251</v>
      </c>
      <c r="AC44" s="1" t="s">
        <v>434</v>
      </c>
      <c r="AD44" s="1" t="s">
        <v>277</v>
      </c>
      <c r="AE44" s="1" t="s">
        <v>406</v>
      </c>
      <c r="AF44" s="1" t="s">
        <v>120</v>
      </c>
      <c r="AG44" s="1">
        <v>80</v>
      </c>
      <c r="AH44" s="1" t="s">
        <v>266</v>
      </c>
      <c r="AI44" s="1" t="s">
        <v>409</v>
      </c>
      <c r="AJ44" s="1" t="s">
        <v>435</v>
      </c>
      <c r="AK44" s="1" t="s">
        <v>53</v>
      </c>
      <c r="AL44" s="1">
        <v>-273</v>
      </c>
      <c r="AM44" s="1" t="s">
        <v>436</v>
      </c>
      <c r="AN44" s="1" t="s">
        <v>55</v>
      </c>
      <c r="AO44" s="1" t="s">
        <v>437</v>
      </c>
      <c r="AP44" s="1" t="s">
        <v>57</v>
      </c>
      <c r="AQ44" s="1" t="s">
        <v>57</v>
      </c>
      <c r="AR44" s="1" t="s">
        <v>57</v>
      </c>
      <c r="AS44" s="1" t="s">
        <v>57</v>
      </c>
      <c r="AT44" s="1" t="s">
        <v>78</v>
      </c>
      <c r="AU44" s="1"/>
    </row>
    <row r="45" spans="1:47" ht="18" customHeight="1" x14ac:dyDescent="0.2">
      <c r="A45" s="13">
        <f t="shared" si="0"/>
        <v>42</v>
      </c>
      <c r="B45" s="28"/>
      <c r="C45" s="27" t="s">
        <v>438</v>
      </c>
      <c r="D45" s="22" t="s">
        <v>439</v>
      </c>
      <c r="E45" s="22" t="s">
        <v>32</v>
      </c>
      <c r="F45" s="22" t="s">
        <v>440</v>
      </c>
      <c r="G45" s="23" t="s">
        <v>32</v>
      </c>
      <c r="H45" s="23" t="s">
        <v>32</v>
      </c>
      <c r="I45" s="23" t="s">
        <v>32</v>
      </c>
      <c r="J45" s="23" t="s">
        <v>32</v>
      </c>
      <c r="K45" s="22" t="s">
        <v>42</v>
      </c>
      <c r="L45" s="22" t="s">
        <v>273</v>
      </c>
      <c r="M45" s="22" t="s">
        <v>32</v>
      </c>
      <c r="N45" s="22" t="s">
        <v>32</v>
      </c>
      <c r="O45" s="23" t="s">
        <v>441</v>
      </c>
      <c r="P45" s="23" t="s">
        <v>226</v>
      </c>
      <c r="Q45" s="22" t="s">
        <v>32</v>
      </c>
      <c r="R45" s="22" t="s">
        <v>32</v>
      </c>
      <c r="S45" s="22" t="s">
        <v>32</v>
      </c>
      <c r="T45" s="23" t="s">
        <v>42</v>
      </c>
      <c r="U45" s="22" t="s">
        <v>32</v>
      </c>
      <c r="V45" s="22" t="s">
        <v>42</v>
      </c>
      <c r="W45" s="23" t="s">
        <v>32</v>
      </c>
      <c r="X45" s="22" t="s">
        <v>226</v>
      </c>
      <c r="Y45" s="22" t="s">
        <v>32</v>
      </c>
      <c r="Z45" s="22">
        <v>11</v>
      </c>
      <c r="AA45" s="22" t="s">
        <v>442</v>
      </c>
      <c r="AB45" s="1" t="s">
        <v>443</v>
      </c>
      <c r="AC45" s="1" t="s">
        <v>444</v>
      </c>
      <c r="AD45" s="1" t="s">
        <v>445</v>
      </c>
      <c r="AE45" s="1" t="s">
        <v>446</v>
      </c>
      <c r="AF45" s="1" t="s">
        <v>254</v>
      </c>
      <c r="AG45" s="1">
        <v>75</v>
      </c>
      <c r="AH45" s="1" t="s">
        <v>447</v>
      </c>
      <c r="AI45" s="1" t="s">
        <v>177</v>
      </c>
      <c r="AJ45" s="1" t="s">
        <v>448</v>
      </c>
      <c r="AK45" s="1" t="s">
        <v>245</v>
      </c>
      <c r="AL45" s="1">
        <v>-273</v>
      </c>
      <c r="AM45" s="1" t="s">
        <v>449</v>
      </c>
      <c r="AN45" s="1" t="s">
        <v>55</v>
      </c>
      <c r="AO45" s="1" t="s">
        <v>450</v>
      </c>
      <c r="AP45" s="1" t="s">
        <v>57</v>
      </c>
      <c r="AQ45" s="1" t="s">
        <v>57</v>
      </c>
      <c r="AR45" s="1" t="s">
        <v>57</v>
      </c>
      <c r="AS45" s="1" t="s">
        <v>57</v>
      </c>
      <c r="AT45" s="1" t="s">
        <v>78</v>
      </c>
      <c r="AU45" s="1"/>
    </row>
    <row r="46" spans="1:47" ht="18" customHeight="1" x14ac:dyDescent="0.2">
      <c r="A46" s="13">
        <f t="shared" si="0"/>
        <v>43</v>
      </c>
      <c r="C46" s="1" t="s">
        <v>451</v>
      </c>
      <c r="D46" s="22" t="s">
        <v>452</v>
      </c>
      <c r="E46" s="22" t="s">
        <v>32</v>
      </c>
      <c r="F46" s="22" t="s">
        <v>455</v>
      </c>
      <c r="G46" s="23" t="s">
        <v>32</v>
      </c>
      <c r="H46" s="23" t="s">
        <v>32</v>
      </c>
      <c r="I46" s="23" t="s">
        <v>32</v>
      </c>
      <c r="J46" s="23" t="s">
        <v>454</v>
      </c>
      <c r="K46" s="22" t="s">
        <v>64</v>
      </c>
      <c r="L46" s="22" t="s">
        <v>453</v>
      </c>
      <c r="M46" s="22" t="s">
        <v>32</v>
      </c>
      <c r="N46" s="22" t="s">
        <v>32</v>
      </c>
      <c r="O46" s="23" t="s">
        <v>80</v>
      </c>
      <c r="P46" s="23" t="s">
        <v>182</v>
      </c>
      <c r="Q46" s="22" t="s">
        <v>226</v>
      </c>
      <c r="R46" s="22" t="s">
        <v>32</v>
      </c>
      <c r="S46" s="22" t="s">
        <v>32</v>
      </c>
      <c r="T46" s="23" t="s">
        <v>42</v>
      </c>
      <c r="U46" s="22" t="s">
        <v>32</v>
      </c>
      <c r="V46" s="22" t="s">
        <v>42</v>
      </c>
      <c r="W46" s="23" t="s">
        <v>32</v>
      </c>
      <c r="X46" s="22" t="s">
        <v>456</v>
      </c>
      <c r="Y46" s="22" t="s">
        <v>32</v>
      </c>
      <c r="Z46" s="22">
        <v>1.7</v>
      </c>
      <c r="AA46" s="22" t="s">
        <v>457</v>
      </c>
      <c r="AB46" s="1" t="s">
        <v>458</v>
      </c>
      <c r="AC46" s="1" t="s">
        <v>459</v>
      </c>
      <c r="AD46" s="1" t="s">
        <v>460</v>
      </c>
      <c r="AE46" s="1" t="s">
        <v>217</v>
      </c>
      <c r="AF46" s="1" t="s">
        <v>254</v>
      </c>
      <c r="AG46" s="1">
        <v>80</v>
      </c>
      <c r="AH46" s="1" t="s">
        <v>198</v>
      </c>
      <c r="AI46" s="1" t="s">
        <v>220</v>
      </c>
      <c r="AJ46" s="1" t="s">
        <v>461</v>
      </c>
      <c r="AK46" s="1" t="s">
        <v>426</v>
      </c>
      <c r="AL46" s="1">
        <v>-273</v>
      </c>
      <c r="AM46" s="1" t="s">
        <v>462</v>
      </c>
      <c r="AN46" s="1" t="s">
        <v>55</v>
      </c>
      <c r="AO46" s="1" t="s">
        <v>428</v>
      </c>
      <c r="AP46" s="1" t="s">
        <v>57</v>
      </c>
      <c r="AQ46" s="1" t="s">
        <v>57</v>
      </c>
      <c r="AR46" s="1" t="s">
        <v>57</v>
      </c>
      <c r="AS46" s="1" t="s">
        <v>57</v>
      </c>
      <c r="AT46" s="1" t="s">
        <v>78</v>
      </c>
      <c r="AU46" s="1"/>
    </row>
    <row r="47" spans="1:47" ht="18" customHeight="1" x14ac:dyDescent="0.2">
      <c r="A47" s="13">
        <f t="shared" si="0"/>
        <v>44</v>
      </c>
      <c r="C47" s="1" t="s">
        <v>451</v>
      </c>
      <c r="D47" s="22" t="s">
        <v>310</v>
      </c>
      <c r="E47" s="22" t="s">
        <v>32</v>
      </c>
      <c r="F47" s="22" t="s">
        <v>455</v>
      </c>
      <c r="G47" s="23" t="s">
        <v>32</v>
      </c>
      <c r="H47" s="23" t="s">
        <v>32</v>
      </c>
      <c r="I47" s="23" t="s">
        <v>32</v>
      </c>
      <c r="J47" s="23" t="s">
        <v>454</v>
      </c>
      <c r="K47" s="22" t="s">
        <v>64</v>
      </c>
      <c r="L47" s="22" t="s">
        <v>453</v>
      </c>
      <c r="M47" s="22" t="s">
        <v>32</v>
      </c>
      <c r="N47" s="22" t="s">
        <v>32</v>
      </c>
      <c r="O47" s="23" t="s">
        <v>80</v>
      </c>
      <c r="P47" s="23" t="s">
        <v>182</v>
      </c>
      <c r="Q47" s="22" t="s">
        <v>226</v>
      </c>
      <c r="R47" s="22" t="s">
        <v>32</v>
      </c>
      <c r="S47" s="22" t="s">
        <v>32</v>
      </c>
      <c r="T47" s="23" t="s">
        <v>42</v>
      </c>
      <c r="U47" s="22" t="s">
        <v>32</v>
      </c>
      <c r="V47" s="22" t="s">
        <v>42</v>
      </c>
      <c r="W47" s="23" t="s">
        <v>32</v>
      </c>
      <c r="X47" s="22" t="s">
        <v>456</v>
      </c>
      <c r="Y47" s="22" t="s">
        <v>32</v>
      </c>
      <c r="Z47" s="22">
        <v>1.7</v>
      </c>
      <c r="AA47" s="22" t="s">
        <v>457</v>
      </c>
      <c r="AB47" s="1" t="s">
        <v>458</v>
      </c>
      <c r="AC47" s="1" t="s">
        <v>252</v>
      </c>
      <c r="AD47" s="1" t="s">
        <v>463</v>
      </c>
      <c r="AE47" s="1" t="s">
        <v>48</v>
      </c>
      <c r="AF47" s="1" t="s">
        <v>218</v>
      </c>
      <c r="AG47" s="1">
        <v>90</v>
      </c>
      <c r="AH47" s="1" t="s">
        <v>464</v>
      </c>
      <c r="AI47" s="1" t="s">
        <v>51</v>
      </c>
      <c r="AJ47" s="1" t="s">
        <v>461</v>
      </c>
      <c r="AK47" s="1" t="s">
        <v>426</v>
      </c>
      <c r="AL47" s="1">
        <v>-273</v>
      </c>
      <c r="AM47" s="1" t="s">
        <v>462</v>
      </c>
      <c r="AN47" s="1" t="s">
        <v>55</v>
      </c>
      <c r="AO47" s="1" t="s">
        <v>428</v>
      </c>
      <c r="AP47" s="1" t="s">
        <v>57</v>
      </c>
      <c r="AQ47" s="1" t="s">
        <v>57</v>
      </c>
      <c r="AR47" s="1" t="s">
        <v>57</v>
      </c>
      <c r="AS47" s="1" t="s">
        <v>57</v>
      </c>
      <c r="AT47" s="1" t="s">
        <v>78</v>
      </c>
      <c r="AU47" s="1"/>
    </row>
    <row r="48" spans="1:47" ht="18" customHeight="1" x14ac:dyDescent="0.2">
      <c r="A48" s="13">
        <f t="shared" si="0"/>
        <v>45</v>
      </c>
      <c r="C48" s="1" t="s">
        <v>451</v>
      </c>
      <c r="D48" s="22" t="s">
        <v>465</v>
      </c>
      <c r="E48" s="22" t="s">
        <v>32</v>
      </c>
      <c r="F48" s="22" t="s">
        <v>455</v>
      </c>
      <c r="G48" s="23" t="s">
        <v>32</v>
      </c>
      <c r="H48" s="23" t="s">
        <v>32</v>
      </c>
      <c r="I48" s="23" t="s">
        <v>32</v>
      </c>
      <c r="J48" s="23" t="s">
        <v>454</v>
      </c>
      <c r="K48" s="22" t="s">
        <v>64</v>
      </c>
      <c r="L48" s="22" t="s">
        <v>453</v>
      </c>
      <c r="M48" s="22" t="s">
        <v>32</v>
      </c>
      <c r="N48" s="22" t="s">
        <v>32</v>
      </c>
      <c r="O48" s="23" t="s">
        <v>80</v>
      </c>
      <c r="P48" s="23" t="s">
        <v>182</v>
      </c>
      <c r="Q48" s="22" t="s">
        <v>226</v>
      </c>
      <c r="R48" s="22" t="s">
        <v>32</v>
      </c>
      <c r="S48" s="22" t="s">
        <v>32</v>
      </c>
      <c r="T48" s="23" t="s">
        <v>42</v>
      </c>
      <c r="U48" s="22" t="s">
        <v>32</v>
      </c>
      <c r="V48" s="22" t="s">
        <v>42</v>
      </c>
      <c r="W48" s="23" t="s">
        <v>32</v>
      </c>
      <c r="X48" s="22" t="s">
        <v>456</v>
      </c>
      <c r="Y48" s="22" t="s">
        <v>32</v>
      </c>
      <c r="Z48" s="22">
        <v>1.7</v>
      </c>
      <c r="AA48" s="22" t="s">
        <v>457</v>
      </c>
      <c r="AB48" s="1" t="s">
        <v>458</v>
      </c>
      <c r="AC48" s="1" t="s">
        <v>276</v>
      </c>
      <c r="AD48" s="1" t="s">
        <v>466</v>
      </c>
      <c r="AE48" s="1" t="s">
        <v>197</v>
      </c>
      <c r="AF48" s="1" t="s">
        <v>254</v>
      </c>
      <c r="AG48" s="1">
        <v>80</v>
      </c>
      <c r="AH48" s="1" t="s">
        <v>464</v>
      </c>
      <c r="AI48" s="1" t="s">
        <v>199</v>
      </c>
      <c r="AJ48" s="1" t="s">
        <v>461</v>
      </c>
      <c r="AK48" s="1" t="s">
        <v>426</v>
      </c>
      <c r="AL48" s="1">
        <v>-273</v>
      </c>
      <c r="AM48" s="1" t="s">
        <v>462</v>
      </c>
      <c r="AN48" s="1" t="s">
        <v>55</v>
      </c>
      <c r="AO48" s="1" t="s">
        <v>428</v>
      </c>
      <c r="AP48" s="1" t="s">
        <v>57</v>
      </c>
      <c r="AQ48" s="1" t="s">
        <v>57</v>
      </c>
      <c r="AR48" s="1" t="s">
        <v>57</v>
      </c>
      <c r="AS48" s="1" t="s">
        <v>57</v>
      </c>
      <c r="AT48" s="1" t="s">
        <v>78</v>
      </c>
      <c r="AU48" s="1"/>
    </row>
    <row r="49" spans="1:47" ht="18" customHeight="1" x14ac:dyDescent="0.2">
      <c r="A49" s="13">
        <f t="shared" si="0"/>
        <v>46</v>
      </c>
      <c r="B49" s="16" t="s">
        <v>1334</v>
      </c>
      <c r="C49" s="1" t="s">
        <v>1337</v>
      </c>
      <c r="D49" s="22" t="s">
        <v>467</v>
      </c>
      <c r="E49" s="22" t="s">
        <v>32</v>
      </c>
      <c r="F49" s="22" t="s">
        <v>469</v>
      </c>
      <c r="G49" s="23" t="s">
        <v>32</v>
      </c>
      <c r="H49" s="23" t="s">
        <v>32</v>
      </c>
      <c r="I49" s="23" t="s">
        <v>32</v>
      </c>
      <c r="J49" s="23" t="s">
        <v>32</v>
      </c>
      <c r="K49" s="22" t="s">
        <v>39</v>
      </c>
      <c r="L49" s="22" t="s">
        <v>468</v>
      </c>
      <c r="M49" s="22" t="s">
        <v>32</v>
      </c>
      <c r="N49" s="22" t="s">
        <v>32</v>
      </c>
      <c r="O49" s="23" t="s">
        <v>32</v>
      </c>
      <c r="P49" s="23" t="s">
        <v>98</v>
      </c>
      <c r="Q49" s="22" t="s">
        <v>32</v>
      </c>
      <c r="R49" s="22" t="s">
        <v>32</v>
      </c>
      <c r="S49" s="22" t="s">
        <v>32</v>
      </c>
      <c r="T49" s="23" t="s">
        <v>42</v>
      </c>
      <c r="U49" s="22" t="s">
        <v>32</v>
      </c>
      <c r="V49" s="22" t="s">
        <v>227</v>
      </c>
      <c r="W49" s="23" t="s">
        <v>39</v>
      </c>
      <c r="X49" s="22" t="s">
        <v>39</v>
      </c>
      <c r="Y49" s="22" t="s">
        <v>32</v>
      </c>
      <c r="Z49" s="22">
        <v>0.35</v>
      </c>
      <c r="AA49" s="22" t="s">
        <v>470</v>
      </c>
      <c r="AB49" s="1" t="s">
        <v>471</v>
      </c>
      <c r="AC49" s="1" t="s">
        <v>103</v>
      </c>
      <c r="AD49" s="1" t="s">
        <v>472</v>
      </c>
      <c r="AE49" s="1" t="s">
        <v>473</v>
      </c>
      <c r="AF49" s="1" t="s">
        <v>474</v>
      </c>
      <c r="AG49" s="1">
        <v>45</v>
      </c>
      <c r="AH49" s="1" t="s">
        <v>475</v>
      </c>
      <c r="AI49" s="1" t="s">
        <v>476</v>
      </c>
      <c r="AJ49" s="1" t="s">
        <v>477</v>
      </c>
      <c r="AK49" s="1" t="s">
        <v>426</v>
      </c>
      <c r="AL49" s="1">
        <v>-273</v>
      </c>
      <c r="AM49" s="1" t="s">
        <v>478</v>
      </c>
      <c r="AN49" s="1" t="s">
        <v>479</v>
      </c>
      <c r="AO49" s="1" t="s">
        <v>480</v>
      </c>
      <c r="AP49" s="1" t="s">
        <v>137</v>
      </c>
      <c r="AQ49" s="1" t="s">
        <v>137</v>
      </c>
      <c r="AR49" s="1" t="s">
        <v>137</v>
      </c>
      <c r="AS49" s="1" t="s">
        <v>137</v>
      </c>
      <c r="AT49" s="1" t="s">
        <v>57</v>
      </c>
      <c r="AU49" s="1"/>
    </row>
    <row r="50" spans="1:47" ht="18" customHeight="1" x14ac:dyDescent="0.2">
      <c r="A50" s="13">
        <f t="shared" si="0"/>
        <v>47</v>
      </c>
      <c r="B50" s="16" t="s">
        <v>1334</v>
      </c>
      <c r="C50" s="1" t="s">
        <v>1338</v>
      </c>
      <c r="D50" s="22" t="s">
        <v>481</v>
      </c>
      <c r="E50" s="22" t="s">
        <v>32</v>
      </c>
      <c r="F50" s="22" t="s">
        <v>469</v>
      </c>
      <c r="G50" s="23" t="s">
        <v>32</v>
      </c>
      <c r="H50" s="23" t="s">
        <v>32</v>
      </c>
      <c r="I50" s="23" t="s">
        <v>32</v>
      </c>
      <c r="J50" s="23" t="s">
        <v>32</v>
      </c>
      <c r="K50" s="22" t="s">
        <v>39</v>
      </c>
      <c r="L50" s="22" t="s">
        <v>468</v>
      </c>
      <c r="M50" s="22" t="s">
        <v>32</v>
      </c>
      <c r="N50" s="22" t="s">
        <v>32</v>
      </c>
      <c r="O50" s="23" t="s">
        <v>32</v>
      </c>
      <c r="P50" s="23" t="s">
        <v>98</v>
      </c>
      <c r="Q50" s="22" t="s">
        <v>32</v>
      </c>
      <c r="R50" s="22" t="s">
        <v>32</v>
      </c>
      <c r="S50" s="22" t="s">
        <v>32</v>
      </c>
      <c r="T50" s="23" t="s">
        <v>42</v>
      </c>
      <c r="U50" s="22" t="s">
        <v>32</v>
      </c>
      <c r="V50" s="22" t="s">
        <v>227</v>
      </c>
      <c r="W50" s="23" t="s">
        <v>39</v>
      </c>
      <c r="X50" s="22" t="s">
        <v>39</v>
      </c>
      <c r="Y50" s="22" t="s">
        <v>32</v>
      </c>
      <c r="Z50" s="22">
        <v>0.35</v>
      </c>
      <c r="AA50" s="22" t="s">
        <v>470</v>
      </c>
      <c r="AB50" s="1" t="s">
        <v>471</v>
      </c>
      <c r="AC50" s="1" t="s">
        <v>482</v>
      </c>
      <c r="AD50" s="1" t="s">
        <v>483</v>
      </c>
      <c r="AE50" s="1" t="s">
        <v>484</v>
      </c>
      <c r="AF50" s="1" t="s">
        <v>209</v>
      </c>
      <c r="AG50" s="1">
        <v>20</v>
      </c>
      <c r="AH50" s="1" t="s">
        <v>485</v>
      </c>
      <c r="AI50" s="1" t="s">
        <v>476</v>
      </c>
      <c r="AJ50" s="1" t="s">
        <v>477</v>
      </c>
      <c r="AK50" s="1" t="s">
        <v>426</v>
      </c>
      <c r="AL50" s="1">
        <v>-273</v>
      </c>
      <c r="AM50" s="1" t="s">
        <v>478</v>
      </c>
      <c r="AN50" s="1" t="s">
        <v>479</v>
      </c>
      <c r="AO50" s="1" t="s">
        <v>480</v>
      </c>
      <c r="AP50" s="1" t="s">
        <v>137</v>
      </c>
      <c r="AQ50" s="1" t="s">
        <v>137</v>
      </c>
      <c r="AR50" s="1" t="s">
        <v>137</v>
      </c>
      <c r="AS50" s="1" t="s">
        <v>137</v>
      </c>
      <c r="AT50" s="1" t="s">
        <v>57</v>
      </c>
      <c r="AU50" s="1"/>
    </row>
    <row r="51" spans="1:47" ht="18" customHeight="1" x14ac:dyDescent="0.2">
      <c r="A51" s="13">
        <f>1+A50</f>
        <v>48</v>
      </c>
      <c r="B51" s="16" t="s">
        <v>1293</v>
      </c>
      <c r="C51" s="1" t="s">
        <v>1339</v>
      </c>
      <c r="D51" s="22" t="s">
        <v>487</v>
      </c>
      <c r="E51" s="22" t="s">
        <v>32</v>
      </c>
      <c r="F51" s="22" t="s">
        <v>489</v>
      </c>
      <c r="G51" s="23" t="s">
        <v>32</v>
      </c>
      <c r="H51" s="23" t="s">
        <v>32</v>
      </c>
      <c r="I51" s="23" t="s">
        <v>32</v>
      </c>
      <c r="J51" s="23" t="s">
        <v>32</v>
      </c>
      <c r="K51" s="22" t="s">
        <v>227</v>
      </c>
      <c r="L51" s="22" t="s">
        <v>226</v>
      </c>
      <c r="M51" s="22" t="s">
        <v>32</v>
      </c>
      <c r="N51" s="22" t="s">
        <v>32</v>
      </c>
      <c r="O51" s="23" t="s">
        <v>32</v>
      </c>
      <c r="P51" s="23" t="s">
        <v>488</v>
      </c>
      <c r="Q51" s="22" t="s">
        <v>32</v>
      </c>
      <c r="R51" s="22" t="s">
        <v>32</v>
      </c>
      <c r="S51" s="22" t="s">
        <v>32</v>
      </c>
      <c r="T51" s="23" t="s">
        <v>226</v>
      </c>
      <c r="U51" s="22" t="s">
        <v>32</v>
      </c>
      <c r="V51" s="22" t="s">
        <v>227</v>
      </c>
      <c r="W51" s="23" t="s">
        <v>39</v>
      </c>
      <c r="X51" s="22" t="s">
        <v>227</v>
      </c>
      <c r="Y51" s="22" t="s">
        <v>32</v>
      </c>
      <c r="Z51" s="22">
        <v>0.22</v>
      </c>
      <c r="AA51" s="22" t="s">
        <v>386</v>
      </c>
      <c r="AB51" s="1" t="s">
        <v>471</v>
      </c>
      <c r="AC51" s="1" t="s">
        <v>490</v>
      </c>
      <c r="AD51" s="1" t="s">
        <v>491</v>
      </c>
      <c r="AE51" s="1" t="s">
        <v>492</v>
      </c>
      <c r="AF51" s="1" t="s">
        <v>493</v>
      </c>
      <c r="AG51" s="1">
        <v>40</v>
      </c>
      <c r="AH51" s="1" t="s">
        <v>494</v>
      </c>
      <c r="AI51" s="1" t="s">
        <v>476</v>
      </c>
      <c r="AJ51" s="1" t="s">
        <v>495</v>
      </c>
      <c r="AK51" s="1" t="s">
        <v>426</v>
      </c>
      <c r="AL51" s="1">
        <v>-273</v>
      </c>
      <c r="AM51" s="1" t="s">
        <v>496</v>
      </c>
      <c r="AN51" s="1" t="s">
        <v>479</v>
      </c>
      <c r="AO51" s="1" t="s">
        <v>497</v>
      </c>
      <c r="AP51" s="1" t="s">
        <v>137</v>
      </c>
      <c r="AQ51" s="1" t="s">
        <v>137</v>
      </c>
      <c r="AR51" s="1" t="s">
        <v>137</v>
      </c>
      <c r="AS51" s="1" t="s">
        <v>137</v>
      </c>
      <c r="AT51" s="1" t="s">
        <v>57</v>
      </c>
      <c r="AU51" s="1"/>
    </row>
    <row r="52" spans="1:47" ht="18" customHeight="1" x14ac:dyDescent="0.2">
      <c r="A52" s="13">
        <f t="shared" si="0"/>
        <v>49</v>
      </c>
      <c r="B52" s="16" t="s">
        <v>1293</v>
      </c>
      <c r="C52" s="1" t="s">
        <v>486</v>
      </c>
      <c r="D52" s="22" t="s">
        <v>481</v>
      </c>
      <c r="E52" s="22" t="s">
        <v>32</v>
      </c>
      <c r="F52" s="22" t="s">
        <v>489</v>
      </c>
      <c r="G52" s="23" t="s">
        <v>32</v>
      </c>
      <c r="H52" s="23" t="s">
        <v>32</v>
      </c>
      <c r="I52" s="23" t="s">
        <v>32</v>
      </c>
      <c r="J52" s="23" t="s">
        <v>32</v>
      </c>
      <c r="K52" s="22" t="s">
        <v>227</v>
      </c>
      <c r="L52" s="22" t="s">
        <v>226</v>
      </c>
      <c r="M52" s="22" t="s">
        <v>227</v>
      </c>
      <c r="N52" s="22" t="s">
        <v>32</v>
      </c>
      <c r="O52" s="23" t="s">
        <v>32</v>
      </c>
      <c r="P52" s="23" t="s">
        <v>488</v>
      </c>
      <c r="Q52" s="22" t="s">
        <v>32</v>
      </c>
      <c r="R52" s="22" t="s">
        <v>32</v>
      </c>
      <c r="S52" s="22" t="s">
        <v>32</v>
      </c>
      <c r="T52" s="23" t="s">
        <v>226</v>
      </c>
      <c r="U52" s="22" t="s">
        <v>32</v>
      </c>
      <c r="V52" s="22" t="s">
        <v>227</v>
      </c>
      <c r="W52" s="23" t="s">
        <v>39</v>
      </c>
      <c r="X52" s="22" t="s">
        <v>227</v>
      </c>
      <c r="Y52" s="22" t="s">
        <v>32</v>
      </c>
      <c r="Z52" s="22">
        <v>0.22</v>
      </c>
      <c r="AA52" s="22" t="s">
        <v>386</v>
      </c>
      <c r="AB52" s="1" t="s">
        <v>471</v>
      </c>
      <c r="AC52" s="1" t="s">
        <v>490</v>
      </c>
      <c r="AD52" s="1" t="s">
        <v>499</v>
      </c>
      <c r="AE52" s="1" t="s">
        <v>500</v>
      </c>
      <c r="AF52" s="1" t="s">
        <v>209</v>
      </c>
      <c r="AG52" s="1">
        <v>18</v>
      </c>
      <c r="AH52" s="1" t="s">
        <v>501</v>
      </c>
      <c r="AI52" s="1" t="s">
        <v>476</v>
      </c>
      <c r="AJ52" s="1" t="s">
        <v>495</v>
      </c>
      <c r="AK52" s="1" t="s">
        <v>426</v>
      </c>
      <c r="AL52" s="1">
        <v>-273</v>
      </c>
      <c r="AM52" s="1" t="s">
        <v>496</v>
      </c>
      <c r="AN52" s="1" t="s">
        <v>479</v>
      </c>
      <c r="AO52" s="1" t="s">
        <v>497</v>
      </c>
      <c r="AP52" s="1" t="s">
        <v>137</v>
      </c>
      <c r="AQ52" s="1" t="s">
        <v>137</v>
      </c>
      <c r="AR52" s="1" t="s">
        <v>137</v>
      </c>
      <c r="AS52" s="1" t="s">
        <v>137</v>
      </c>
      <c r="AT52" s="1" t="s">
        <v>57</v>
      </c>
      <c r="AU52" s="1"/>
    </row>
    <row r="53" spans="1:47" s="24" customFormat="1" ht="18" customHeight="1" x14ac:dyDescent="0.2">
      <c r="A53" s="55">
        <f t="shared" si="0"/>
        <v>50</v>
      </c>
      <c r="B53" s="56" t="s">
        <v>1335</v>
      </c>
      <c r="C53" s="22" t="s">
        <v>1340</v>
      </c>
      <c r="D53" s="22" t="s">
        <v>502</v>
      </c>
      <c r="E53" s="22" t="s">
        <v>32</v>
      </c>
      <c r="F53" s="22" t="s">
        <v>503</v>
      </c>
      <c r="G53" s="23" t="s">
        <v>32</v>
      </c>
      <c r="H53" s="23" t="s">
        <v>32</v>
      </c>
      <c r="I53" s="23" t="s">
        <v>32</v>
      </c>
      <c r="J53" s="23" t="s">
        <v>32</v>
      </c>
      <c r="K53" s="22" t="s">
        <v>32</v>
      </c>
      <c r="L53" s="22" t="s">
        <v>32</v>
      </c>
      <c r="M53" s="22" t="s">
        <v>32</v>
      </c>
      <c r="N53" s="22" t="s">
        <v>32</v>
      </c>
      <c r="O53" s="23" t="s">
        <v>32</v>
      </c>
      <c r="P53" s="23" t="s">
        <v>39</v>
      </c>
      <c r="Q53" s="22" t="s">
        <v>32</v>
      </c>
      <c r="R53" s="22" t="s">
        <v>32</v>
      </c>
      <c r="S53" s="22" t="s">
        <v>32</v>
      </c>
      <c r="T53" s="23" t="s">
        <v>32</v>
      </c>
      <c r="U53" s="22" t="s">
        <v>32</v>
      </c>
      <c r="V53" s="22" t="s">
        <v>39</v>
      </c>
      <c r="W53" s="23" t="s">
        <v>39</v>
      </c>
      <c r="X53" s="22" t="s">
        <v>59</v>
      </c>
      <c r="Y53" s="22" t="s">
        <v>32</v>
      </c>
      <c r="Z53" s="22">
        <v>0.1</v>
      </c>
      <c r="AA53" s="22" t="s">
        <v>186</v>
      </c>
      <c r="AB53" s="22" t="s">
        <v>471</v>
      </c>
      <c r="AC53" s="22" t="s">
        <v>504</v>
      </c>
      <c r="AD53" s="22" t="s">
        <v>505</v>
      </c>
      <c r="AE53" s="22" t="s">
        <v>506</v>
      </c>
      <c r="AF53" s="22" t="s">
        <v>508</v>
      </c>
      <c r="AG53" s="22">
        <v>37</v>
      </c>
      <c r="AH53" s="22" t="s">
        <v>507</v>
      </c>
      <c r="AI53" s="22" t="s">
        <v>476</v>
      </c>
      <c r="AJ53" s="22" t="s">
        <v>509</v>
      </c>
      <c r="AK53" s="22" t="s">
        <v>426</v>
      </c>
      <c r="AL53" s="22">
        <v>-273</v>
      </c>
      <c r="AM53" s="22" t="s">
        <v>510</v>
      </c>
      <c r="AN53" s="22" t="s">
        <v>511</v>
      </c>
      <c r="AO53" s="22" t="s">
        <v>480</v>
      </c>
      <c r="AP53" s="22" t="s">
        <v>137</v>
      </c>
      <c r="AQ53" s="22" t="s">
        <v>137</v>
      </c>
      <c r="AR53" s="22" t="s">
        <v>137</v>
      </c>
      <c r="AS53" s="22" t="s">
        <v>137</v>
      </c>
      <c r="AT53" s="22" t="s">
        <v>57</v>
      </c>
      <c r="AU53" s="22"/>
    </row>
    <row r="54" spans="1:47" ht="18" customHeight="1" x14ac:dyDescent="0.2">
      <c r="A54" s="13">
        <f t="shared" si="0"/>
        <v>51</v>
      </c>
      <c r="B54" s="16" t="s">
        <v>1294</v>
      </c>
      <c r="C54" s="1" t="s">
        <v>1341</v>
      </c>
      <c r="D54" s="22" t="s">
        <v>512</v>
      </c>
      <c r="E54" s="22" t="s">
        <v>32</v>
      </c>
      <c r="F54" s="22" t="s">
        <v>513</v>
      </c>
      <c r="G54" s="23" t="s">
        <v>32</v>
      </c>
      <c r="H54" s="23" t="s">
        <v>32</v>
      </c>
      <c r="I54" s="23" t="s">
        <v>32</v>
      </c>
      <c r="J54" s="23" t="s">
        <v>59</v>
      </c>
      <c r="K54" s="22" t="s">
        <v>516</v>
      </c>
      <c r="L54" s="22" t="s">
        <v>468</v>
      </c>
      <c r="M54" s="22" t="s">
        <v>32</v>
      </c>
      <c r="N54" s="22" t="s">
        <v>32</v>
      </c>
      <c r="O54" s="23" t="s">
        <v>514</v>
      </c>
      <c r="P54" s="23" t="s">
        <v>273</v>
      </c>
      <c r="Q54" s="22" t="s">
        <v>32</v>
      </c>
      <c r="R54" s="22" t="s">
        <v>32</v>
      </c>
      <c r="S54" s="22" t="s">
        <v>32</v>
      </c>
      <c r="T54" s="23" t="s">
        <v>515</v>
      </c>
      <c r="U54" s="22" t="s">
        <v>32</v>
      </c>
      <c r="V54" s="22" t="s">
        <v>59</v>
      </c>
      <c r="W54" s="23" t="s">
        <v>39</v>
      </c>
      <c r="X54" s="22" t="s">
        <v>42</v>
      </c>
      <c r="Y54" s="22" t="s">
        <v>32</v>
      </c>
      <c r="Z54" s="22">
        <v>1.75</v>
      </c>
      <c r="AA54" s="22" t="s">
        <v>517</v>
      </c>
      <c r="AB54" s="1" t="s">
        <v>518</v>
      </c>
      <c r="AC54" s="1" t="s">
        <v>519</v>
      </c>
      <c r="AD54" s="1" t="s">
        <v>520</v>
      </c>
      <c r="AE54" s="1" t="s">
        <v>521</v>
      </c>
      <c r="AF54" s="1" t="s">
        <v>522</v>
      </c>
      <c r="AG54" s="1" t="s">
        <v>32</v>
      </c>
      <c r="AH54" s="1" t="s">
        <v>523</v>
      </c>
      <c r="AI54" s="1" t="s">
        <v>524</v>
      </c>
      <c r="AJ54" s="1" t="s">
        <v>525</v>
      </c>
      <c r="AK54" s="1" t="s">
        <v>245</v>
      </c>
      <c r="AL54" s="1">
        <v>-273</v>
      </c>
      <c r="AM54" s="1" t="s">
        <v>526</v>
      </c>
      <c r="AN54" s="1" t="s">
        <v>527</v>
      </c>
      <c r="AO54" s="1" t="s">
        <v>528</v>
      </c>
      <c r="AP54" s="1" t="s">
        <v>113</v>
      </c>
      <c r="AQ54" s="1" t="s">
        <v>113</v>
      </c>
      <c r="AR54" s="1" t="s">
        <v>113</v>
      </c>
      <c r="AS54" s="1" t="s">
        <v>78</v>
      </c>
      <c r="AT54" s="1" t="s">
        <v>57</v>
      </c>
      <c r="AU54" s="1"/>
    </row>
    <row r="55" spans="1:47" ht="18" customHeight="1" x14ac:dyDescent="0.2">
      <c r="A55" s="13">
        <f t="shared" si="0"/>
        <v>52</v>
      </c>
      <c r="B55" s="16" t="s">
        <v>1294</v>
      </c>
      <c r="C55" s="1" t="s">
        <v>1341</v>
      </c>
      <c r="D55" s="22" t="s">
        <v>529</v>
      </c>
      <c r="E55" s="22" t="s">
        <v>32</v>
      </c>
      <c r="F55" s="22" t="s">
        <v>513</v>
      </c>
      <c r="G55" s="23" t="s">
        <v>32</v>
      </c>
      <c r="H55" s="23" t="s">
        <v>32</v>
      </c>
      <c r="I55" s="23" t="s">
        <v>32</v>
      </c>
      <c r="J55" s="23" t="s">
        <v>59</v>
      </c>
      <c r="K55" s="22" t="s">
        <v>516</v>
      </c>
      <c r="L55" s="22" t="s">
        <v>468</v>
      </c>
      <c r="M55" s="22" t="s">
        <v>32</v>
      </c>
      <c r="N55" s="22" t="s">
        <v>32</v>
      </c>
      <c r="O55" s="23" t="s">
        <v>514</v>
      </c>
      <c r="P55" s="23" t="s">
        <v>273</v>
      </c>
      <c r="Q55" s="22" t="s">
        <v>32</v>
      </c>
      <c r="R55" s="22" t="s">
        <v>32</v>
      </c>
      <c r="S55" s="22" t="s">
        <v>32</v>
      </c>
      <c r="T55" s="23" t="s">
        <v>515</v>
      </c>
      <c r="U55" s="22" t="s">
        <v>32</v>
      </c>
      <c r="V55" s="22" t="s">
        <v>59</v>
      </c>
      <c r="W55" s="23" t="s">
        <v>39</v>
      </c>
      <c r="X55" s="22" t="s">
        <v>42</v>
      </c>
      <c r="Y55" s="22" t="s">
        <v>32</v>
      </c>
      <c r="Z55" s="22">
        <v>1.75</v>
      </c>
      <c r="AA55" s="22" t="s">
        <v>517</v>
      </c>
      <c r="AB55" s="1" t="s">
        <v>518</v>
      </c>
      <c r="AC55" s="1" t="s">
        <v>377</v>
      </c>
      <c r="AD55" s="1" t="s">
        <v>530</v>
      </c>
      <c r="AE55" s="1" t="s">
        <v>531</v>
      </c>
      <c r="AF55" s="1" t="s">
        <v>532</v>
      </c>
      <c r="AG55" s="1" t="s">
        <v>32</v>
      </c>
      <c r="AH55" s="1" t="s">
        <v>533</v>
      </c>
      <c r="AI55" s="1" t="s">
        <v>524</v>
      </c>
      <c r="AJ55" s="1" t="s">
        <v>525</v>
      </c>
      <c r="AK55" s="1" t="s">
        <v>245</v>
      </c>
      <c r="AL55" s="1">
        <v>-273</v>
      </c>
      <c r="AM55" s="1" t="s">
        <v>526</v>
      </c>
      <c r="AN55" s="1" t="s">
        <v>527</v>
      </c>
      <c r="AO55" s="1" t="s">
        <v>528</v>
      </c>
      <c r="AP55" s="1" t="s">
        <v>113</v>
      </c>
      <c r="AQ55" s="1" t="s">
        <v>113</v>
      </c>
      <c r="AR55" s="1" t="s">
        <v>113</v>
      </c>
      <c r="AS55" s="1" t="s">
        <v>78</v>
      </c>
      <c r="AT55" s="1" t="s">
        <v>57</v>
      </c>
      <c r="AU55" s="1"/>
    </row>
    <row r="56" spans="1:47" ht="18" customHeight="1" x14ac:dyDescent="0.2">
      <c r="A56" s="13">
        <f t="shared" si="0"/>
        <v>53</v>
      </c>
      <c r="B56" s="16" t="s">
        <v>1295</v>
      </c>
      <c r="C56" s="1" t="s">
        <v>1342</v>
      </c>
      <c r="D56" s="22" t="s">
        <v>512</v>
      </c>
      <c r="E56" s="22" t="s">
        <v>32</v>
      </c>
      <c r="F56" s="22" t="s">
        <v>535</v>
      </c>
      <c r="G56" s="23" t="s">
        <v>32</v>
      </c>
      <c r="H56" s="23" t="s">
        <v>32</v>
      </c>
      <c r="I56" s="23" t="s">
        <v>32</v>
      </c>
      <c r="J56" s="23" t="s">
        <v>226</v>
      </c>
      <c r="K56" s="22" t="s">
        <v>537</v>
      </c>
      <c r="L56" s="22" t="s">
        <v>98</v>
      </c>
      <c r="M56" s="22" t="s">
        <v>32</v>
      </c>
      <c r="N56" s="22" t="s">
        <v>32</v>
      </c>
      <c r="O56" s="23" t="s">
        <v>536</v>
      </c>
      <c r="P56" s="23" t="s">
        <v>534</v>
      </c>
      <c r="Q56" s="22" t="s">
        <v>32</v>
      </c>
      <c r="R56" s="22" t="s">
        <v>32</v>
      </c>
      <c r="S56" s="22" t="s">
        <v>32</v>
      </c>
      <c r="T56" s="23" t="s">
        <v>98</v>
      </c>
      <c r="U56" s="22" t="s">
        <v>32</v>
      </c>
      <c r="V56" s="22" t="s">
        <v>32</v>
      </c>
      <c r="W56" s="23" t="s">
        <v>32</v>
      </c>
      <c r="X56" s="22" t="s">
        <v>273</v>
      </c>
      <c r="Y56" s="22" t="s">
        <v>32</v>
      </c>
      <c r="Z56" s="22">
        <v>1.1499999999999999</v>
      </c>
      <c r="AA56" s="22" t="s">
        <v>517</v>
      </c>
      <c r="AB56" s="1" t="s">
        <v>518</v>
      </c>
      <c r="AC56" s="1" t="s">
        <v>286</v>
      </c>
      <c r="AD56" s="1" t="s">
        <v>377</v>
      </c>
      <c r="AE56" s="1" t="s">
        <v>538</v>
      </c>
      <c r="AF56" s="1" t="s">
        <v>539</v>
      </c>
      <c r="AG56" s="1" t="s">
        <v>32</v>
      </c>
      <c r="AH56" s="1" t="s">
        <v>540</v>
      </c>
      <c r="AI56" s="1" t="s">
        <v>524</v>
      </c>
      <c r="AJ56" s="1" t="s">
        <v>541</v>
      </c>
      <c r="AK56" s="1" t="s">
        <v>245</v>
      </c>
      <c r="AL56" s="1">
        <v>-273</v>
      </c>
      <c r="AM56" s="1" t="s">
        <v>542</v>
      </c>
      <c r="AN56" s="1" t="s">
        <v>543</v>
      </c>
      <c r="AO56" s="1" t="s">
        <v>528</v>
      </c>
      <c r="AP56" s="1" t="s">
        <v>78</v>
      </c>
      <c r="AQ56" s="1" t="s">
        <v>113</v>
      </c>
      <c r="AR56" s="1" t="s">
        <v>113</v>
      </c>
      <c r="AS56" s="1" t="s">
        <v>78</v>
      </c>
      <c r="AT56" s="1" t="s">
        <v>57</v>
      </c>
      <c r="AU56" s="1"/>
    </row>
    <row r="57" spans="1:47" ht="18" customHeight="1" x14ac:dyDescent="0.2">
      <c r="A57" s="13">
        <f t="shared" si="0"/>
        <v>54</v>
      </c>
      <c r="B57" s="16" t="s">
        <v>1295</v>
      </c>
      <c r="C57" s="1" t="s">
        <v>1342</v>
      </c>
      <c r="D57" s="22" t="s">
        <v>544</v>
      </c>
      <c r="E57" s="22" t="s">
        <v>32</v>
      </c>
      <c r="F57" s="22" t="s">
        <v>535</v>
      </c>
      <c r="G57" s="23" t="s">
        <v>32</v>
      </c>
      <c r="H57" s="23" t="s">
        <v>32</v>
      </c>
      <c r="I57" s="23" t="s">
        <v>32</v>
      </c>
      <c r="J57" s="23" t="s">
        <v>226</v>
      </c>
      <c r="K57" s="22" t="s">
        <v>537</v>
      </c>
      <c r="L57" s="22" t="s">
        <v>98</v>
      </c>
      <c r="M57" s="22" t="s">
        <v>32</v>
      </c>
      <c r="N57" s="22" t="s">
        <v>32</v>
      </c>
      <c r="O57" s="23" t="s">
        <v>536</v>
      </c>
      <c r="P57" s="23" t="s">
        <v>534</v>
      </c>
      <c r="Q57" s="22" t="s">
        <v>32</v>
      </c>
      <c r="R57" s="22" t="s">
        <v>32</v>
      </c>
      <c r="S57" s="22" t="s">
        <v>32</v>
      </c>
      <c r="T57" s="23" t="s">
        <v>98</v>
      </c>
      <c r="U57" s="22" t="s">
        <v>32</v>
      </c>
      <c r="V57" s="22" t="s">
        <v>32</v>
      </c>
      <c r="W57" s="23" t="s">
        <v>32</v>
      </c>
      <c r="X57" s="22" t="s">
        <v>273</v>
      </c>
      <c r="Y57" s="22" t="s">
        <v>32</v>
      </c>
      <c r="Z57" s="22">
        <v>1.1499999999999999</v>
      </c>
      <c r="AA57" s="22" t="s">
        <v>517</v>
      </c>
      <c r="AB57" s="1" t="s">
        <v>518</v>
      </c>
      <c r="AC57" s="1" t="s">
        <v>286</v>
      </c>
      <c r="AD57" s="1" t="s">
        <v>377</v>
      </c>
      <c r="AE57" s="1" t="s">
        <v>538</v>
      </c>
      <c r="AF57" s="1" t="s">
        <v>539</v>
      </c>
      <c r="AG57" s="1" t="s">
        <v>32</v>
      </c>
      <c r="AH57" s="1" t="s">
        <v>545</v>
      </c>
      <c r="AI57" s="1" t="s">
        <v>524</v>
      </c>
      <c r="AJ57" s="1" t="s">
        <v>541</v>
      </c>
      <c r="AK57" s="1" t="s">
        <v>245</v>
      </c>
      <c r="AL57" s="1">
        <v>-273</v>
      </c>
      <c r="AM57" s="1" t="s">
        <v>542</v>
      </c>
      <c r="AN57" s="1" t="s">
        <v>543</v>
      </c>
      <c r="AO57" s="1" t="s">
        <v>528</v>
      </c>
      <c r="AP57" s="1" t="s">
        <v>78</v>
      </c>
      <c r="AQ57" s="1" t="s">
        <v>113</v>
      </c>
      <c r="AR57" s="1" t="s">
        <v>113</v>
      </c>
      <c r="AS57" s="1" t="s">
        <v>78</v>
      </c>
      <c r="AT57" s="1" t="s">
        <v>57</v>
      </c>
      <c r="AU57" s="1"/>
    </row>
    <row r="58" spans="1:47" ht="18" customHeight="1" x14ac:dyDescent="0.2">
      <c r="A58" s="13">
        <f t="shared" si="0"/>
        <v>55</v>
      </c>
      <c r="B58" s="16" t="s">
        <v>1295</v>
      </c>
      <c r="C58" s="1" t="s">
        <v>1343</v>
      </c>
      <c r="D58" s="22" t="s">
        <v>529</v>
      </c>
      <c r="E58" s="22" t="s">
        <v>32</v>
      </c>
      <c r="F58" s="22" t="s">
        <v>535</v>
      </c>
      <c r="G58" s="23" t="s">
        <v>32</v>
      </c>
      <c r="H58" s="23" t="s">
        <v>32</v>
      </c>
      <c r="I58" s="23" t="s">
        <v>32</v>
      </c>
      <c r="J58" s="23" t="s">
        <v>226</v>
      </c>
      <c r="K58" s="22" t="s">
        <v>537</v>
      </c>
      <c r="L58" s="22" t="s">
        <v>98</v>
      </c>
      <c r="M58" s="22" t="s">
        <v>32</v>
      </c>
      <c r="N58" s="22" t="s">
        <v>32</v>
      </c>
      <c r="O58" s="23" t="s">
        <v>536</v>
      </c>
      <c r="P58" s="23" t="s">
        <v>534</v>
      </c>
      <c r="Q58" s="22" t="s">
        <v>32</v>
      </c>
      <c r="R58" s="22" t="s">
        <v>32</v>
      </c>
      <c r="S58" s="22" t="s">
        <v>32</v>
      </c>
      <c r="T58" s="23" t="s">
        <v>98</v>
      </c>
      <c r="U58" s="22" t="s">
        <v>32</v>
      </c>
      <c r="V58" s="22" t="s">
        <v>32</v>
      </c>
      <c r="W58" s="23" t="s">
        <v>32</v>
      </c>
      <c r="X58" s="22" t="s">
        <v>273</v>
      </c>
      <c r="Y58" s="22" t="s">
        <v>32</v>
      </c>
      <c r="Z58" s="22">
        <v>1.1499999999999999</v>
      </c>
      <c r="AA58" s="22" t="s">
        <v>517</v>
      </c>
      <c r="AB58" s="1" t="s">
        <v>518</v>
      </c>
      <c r="AC58" s="1" t="s">
        <v>358</v>
      </c>
      <c r="AD58" s="1" t="s">
        <v>546</v>
      </c>
      <c r="AE58" s="1" t="s">
        <v>547</v>
      </c>
      <c r="AF58" s="1" t="s">
        <v>548</v>
      </c>
      <c r="AG58" s="1" t="s">
        <v>32</v>
      </c>
      <c r="AH58" s="1" t="s">
        <v>549</v>
      </c>
      <c r="AI58" s="1" t="s">
        <v>524</v>
      </c>
      <c r="AJ58" s="1" t="s">
        <v>541</v>
      </c>
      <c r="AK58" s="1" t="s">
        <v>245</v>
      </c>
      <c r="AL58" s="1">
        <v>-273</v>
      </c>
      <c r="AM58" s="1" t="s">
        <v>542</v>
      </c>
      <c r="AN58" s="1" t="s">
        <v>543</v>
      </c>
      <c r="AO58" s="1" t="s">
        <v>528</v>
      </c>
      <c r="AP58" s="1" t="s">
        <v>78</v>
      </c>
      <c r="AQ58" s="1" t="s">
        <v>113</v>
      </c>
      <c r="AR58" s="1" t="s">
        <v>113</v>
      </c>
      <c r="AS58" s="1" t="s">
        <v>78</v>
      </c>
      <c r="AT58" s="1" t="s">
        <v>57</v>
      </c>
      <c r="AU58" s="1"/>
    </row>
    <row r="59" spans="1:47" ht="18" customHeight="1" x14ac:dyDescent="0.2">
      <c r="A59" s="13">
        <f t="shared" si="0"/>
        <v>56</v>
      </c>
      <c r="B59" s="16" t="s">
        <v>1336</v>
      </c>
      <c r="C59" s="1" t="s">
        <v>1344</v>
      </c>
      <c r="D59" s="22" t="s">
        <v>512</v>
      </c>
      <c r="E59" s="22" t="s">
        <v>32</v>
      </c>
      <c r="F59" s="22" t="s">
        <v>552</v>
      </c>
      <c r="G59" s="23" t="s">
        <v>32</v>
      </c>
      <c r="H59" s="23" t="s">
        <v>32</v>
      </c>
      <c r="I59" s="23" t="s">
        <v>32</v>
      </c>
      <c r="J59" s="23" t="s">
        <v>59</v>
      </c>
      <c r="K59" s="22" t="s">
        <v>556</v>
      </c>
      <c r="L59" s="22" t="s">
        <v>550</v>
      </c>
      <c r="M59" s="22" t="s">
        <v>32</v>
      </c>
      <c r="N59" s="22" t="s">
        <v>32</v>
      </c>
      <c r="O59" s="23" t="s">
        <v>553</v>
      </c>
      <c r="P59" s="23" t="s">
        <v>551</v>
      </c>
      <c r="Q59" s="22" t="s">
        <v>32</v>
      </c>
      <c r="R59" s="22" t="s">
        <v>32</v>
      </c>
      <c r="S59" s="22" t="s">
        <v>32</v>
      </c>
      <c r="T59" s="23" t="s">
        <v>554</v>
      </c>
      <c r="U59" s="22" t="s">
        <v>32</v>
      </c>
      <c r="V59" s="22" t="s">
        <v>555</v>
      </c>
      <c r="W59" s="23" t="s">
        <v>32</v>
      </c>
      <c r="X59" s="22" t="s">
        <v>42</v>
      </c>
      <c r="Y59" s="22" t="s">
        <v>32</v>
      </c>
      <c r="Z59" s="22">
        <v>3.3</v>
      </c>
      <c r="AA59" s="22" t="s">
        <v>557</v>
      </c>
      <c r="AB59" s="1" t="s">
        <v>558</v>
      </c>
      <c r="AC59" s="1" t="s">
        <v>559</v>
      </c>
      <c r="AD59" s="1" t="s">
        <v>560</v>
      </c>
      <c r="AE59" s="1" t="s">
        <v>561</v>
      </c>
      <c r="AF59" s="1" t="s">
        <v>562</v>
      </c>
      <c r="AG59" s="1">
        <v>110</v>
      </c>
      <c r="AH59" s="1" t="s">
        <v>376</v>
      </c>
      <c r="AI59" s="1" t="s">
        <v>563</v>
      </c>
      <c r="AJ59" s="1" t="s">
        <v>564</v>
      </c>
      <c r="AK59" s="1" t="s">
        <v>53</v>
      </c>
      <c r="AL59" s="1">
        <v>-273</v>
      </c>
      <c r="AM59" s="1" t="s">
        <v>565</v>
      </c>
      <c r="AN59" s="1" t="s">
        <v>566</v>
      </c>
      <c r="AO59" s="1" t="s">
        <v>567</v>
      </c>
      <c r="AP59" s="1" t="s">
        <v>78</v>
      </c>
      <c r="AQ59" s="1" t="s">
        <v>113</v>
      </c>
      <c r="AR59" s="1" t="s">
        <v>113</v>
      </c>
      <c r="AS59" s="1" t="s">
        <v>78</v>
      </c>
      <c r="AT59" s="1" t="s">
        <v>57</v>
      </c>
      <c r="AU59" s="1"/>
    </row>
    <row r="60" spans="1:47" ht="18" customHeight="1" x14ac:dyDescent="0.2">
      <c r="A60" s="13">
        <f t="shared" si="0"/>
        <v>57</v>
      </c>
      <c r="B60" s="16" t="s">
        <v>1336</v>
      </c>
      <c r="C60" s="1" t="s">
        <v>1344</v>
      </c>
      <c r="D60" s="22" t="s">
        <v>294</v>
      </c>
      <c r="E60" s="22" t="s">
        <v>32</v>
      </c>
      <c r="F60" s="22" t="s">
        <v>552</v>
      </c>
      <c r="G60" s="23" t="s">
        <v>32</v>
      </c>
      <c r="H60" s="23" t="s">
        <v>32</v>
      </c>
      <c r="I60" s="23" t="s">
        <v>32</v>
      </c>
      <c r="J60" s="23" t="s">
        <v>59</v>
      </c>
      <c r="K60" s="22" t="s">
        <v>556</v>
      </c>
      <c r="L60" s="22" t="s">
        <v>550</v>
      </c>
      <c r="M60" s="22" t="s">
        <v>32</v>
      </c>
      <c r="N60" s="22" t="s">
        <v>32</v>
      </c>
      <c r="O60" s="23" t="s">
        <v>553</v>
      </c>
      <c r="P60" s="23" t="s">
        <v>551</v>
      </c>
      <c r="Q60" s="22" t="s">
        <v>32</v>
      </c>
      <c r="R60" s="22" t="s">
        <v>32</v>
      </c>
      <c r="S60" s="22" t="s">
        <v>32</v>
      </c>
      <c r="T60" s="23" t="s">
        <v>554</v>
      </c>
      <c r="U60" s="22" t="s">
        <v>32</v>
      </c>
      <c r="V60" s="22" t="s">
        <v>555</v>
      </c>
      <c r="W60" s="23" t="s">
        <v>32</v>
      </c>
      <c r="X60" s="22" t="s">
        <v>42</v>
      </c>
      <c r="Y60" s="22" t="s">
        <v>32</v>
      </c>
      <c r="Z60" s="22">
        <v>3.3</v>
      </c>
      <c r="AA60" s="22" t="s">
        <v>557</v>
      </c>
      <c r="AB60" s="1" t="s">
        <v>568</v>
      </c>
      <c r="AC60" s="1" t="s">
        <v>569</v>
      </c>
      <c r="AD60" s="1" t="s">
        <v>570</v>
      </c>
      <c r="AE60" s="1" t="s">
        <v>571</v>
      </c>
      <c r="AF60" s="1" t="s">
        <v>276</v>
      </c>
      <c r="AG60" s="1">
        <v>140</v>
      </c>
      <c r="AH60" s="1" t="s">
        <v>572</v>
      </c>
      <c r="AI60" s="1" t="s">
        <v>573</v>
      </c>
      <c r="AJ60" s="1" t="s">
        <v>564</v>
      </c>
      <c r="AK60" s="1" t="s">
        <v>53</v>
      </c>
      <c r="AL60" s="1">
        <v>-273</v>
      </c>
      <c r="AM60" s="1" t="s">
        <v>574</v>
      </c>
      <c r="AN60" s="1" t="s">
        <v>566</v>
      </c>
      <c r="AO60" s="1" t="s">
        <v>567</v>
      </c>
      <c r="AP60" s="1" t="s">
        <v>78</v>
      </c>
      <c r="AQ60" s="1" t="s">
        <v>113</v>
      </c>
      <c r="AR60" s="1" t="s">
        <v>113</v>
      </c>
      <c r="AS60" s="1" t="s">
        <v>78</v>
      </c>
      <c r="AT60" s="1" t="s">
        <v>57</v>
      </c>
      <c r="AU60" s="1"/>
    </row>
    <row r="61" spans="1:47" ht="18" customHeight="1" x14ac:dyDescent="0.2">
      <c r="A61" s="13">
        <f t="shared" si="0"/>
        <v>58</v>
      </c>
      <c r="B61" s="16" t="s">
        <v>1336</v>
      </c>
      <c r="C61" s="1" t="s">
        <v>1344</v>
      </c>
      <c r="D61" s="22" t="s">
        <v>529</v>
      </c>
      <c r="E61" s="22" t="s">
        <v>32</v>
      </c>
      <c r="F61" s="22" t="s">
        <v>552</v>
      </c>
      <c r="G61" s="23" t="s">
        <v>32</v>
      </c>
      <c r="H61" s="23" t="s">
        <v>32</v>
      </c>
      <c r="I61" s="23" t="s">
        <v>32</v>
      </c>
      <c r="J61" s="23" t="s">
        <v>59</v>
      </c>
      <c r="K61" s="22" t="s">
        <v>556</v>
      </c>
      <c r="L61" s="22" t="s">
        <v>550</v>
      </c>
      <c r="M61" s="22" t="s">
        <v>32</v>
      </c>
      <c r="N61" s="22" t="s">
        <v>32</v>
      </c>
      <c r="O61" s="23" t="s">
        <v>553</v>
      </c>
      <c r="P61" s="23" t="s">
        <v>551</v>
      </c>
      <c r="Q61" s="22" t="s">
        <v>32</v>
      </c>
      <c r="R61" s="22" t="s">
        <v>32</v>
      </c>
      <c r="S61" s="22" t="s">
        <v>32</v>
      </c>
      <c r="T61" s="23" t="s">
        <v>554</v>
      </c>
      <c r="U61" s="22" t="s">
        <v>32</v>
      </c>
      <c r="V61" s="22" t="s">
        <v>555</v>
      </c>
      <c r="W61" s="23" t="s">
        <v>32</v>
      </c>
      <c r="X61" s="22" t="s">
        <v>42</v>
      </c>
      <c r="Y61" s="22" t="s">
        <v>32</v>
      </c>
      <c r="Z61" s="22">
        <v>3.3</v>
      </c>
      <c r="AA61" s="22" t="s">
        <v>65</v>
      </c>
      <c r="AB61" s="1" t="s">
        <v>575</v>
      </c>
      <c r="AC61" s="1" t="s">
        <v>576</v>
      </c>
      <c r="AD61" s="1" t="s">
        <v>577</v>
      </c>
      <c r="AE61" s="1" t="s">
        <v>578</v>
      </c>
      <c r="AF61" s="1" t="s">
        <v>276</v>
      </c>
      <c r="AG61" s="1">
        <v>130</v>
      </c>
      <c r="AH61" s="1" t="s">
        <v>572</v>
      </c>
      <c r="AI61" s="1" t="s">
        <v>563</v>
      </c>
      <c r="AJ61" s="1" t="s">
        <v>579</v>
      </c>
      <c r="AK61" s="1" t="s">
        <v>53</v>
      </c>
      <c r="AL61" s="1">
        <v>-273</v>
      </c>
      <c r="AM61" s="1" t="s">
        <v>580</v>
      </c>
      <c r="AN61" s="1" t="s">
        <v>581</v>
      </c>
      <c r="AO61" s="1" t="s">
        <v>582</v>
      </c>
      <c r="AP61" s="1" t="s">
        <v>78</v>
      </c>
      <c r="AQ61" s="1" t="s">
        <v>113</v>
      </c>
      <c r="AR61" s="1" t="s">
        <v>113</v>
      </c>
      <c r="AS61" s="1" t="s">
        <v>78</v>
      </c>
      <c r="AT61" s="1" t="s">
        <v>57</v>
      </c>
      <c r="AU61" s="1"/>
    </row>
    <row r="62" spans="1:47" ht="18" customHeight="1" x14ac:dyDescent="0.2">
      <c r="A62" s="13">
        <f t="shared" si="0"/>
        <v>59</v>
      </c>
      <c r="B62" s="16" t="s">
        <v>1336</v>
      </c>
      <c r="C62" s="1" t="s">
        <v>1344</v>
      </c>
      <c r="D62" s="22" t="s">
        <v>583</v>
      </c>
      <c r="E62" s="22" t="s">
        <v>32</v>
      </c>
      <c r="F62" s="22" t="s">
        <v>552</v>
      </c>
      <c r="G62" s="23" t="s">
        <v>32</v>
      </c>
      <c r="H62" s="23" t="s">
        <v>32</v>
      </c>
      <c r="I62" s="23" t="s">
        <v>32</v>
      </c>
      <c r="J62" s="23" t="s">
        <v>59</v>
      </c>
      <c r="K62" s="22" t="s">
        <v>556</v>
      </c>
      <c r="L62" s="22" t="s">
        <v>550</v>
      </c>
      <c r="M62" s="22" t="s">
        <v>32</v>
      </c>
      <c r="N62" s="22" t="s">
        <v>32</v>
      </c>
      <c r="O62" s="23" t="s">
        <v>553</v>
      </c>
      <c r="P62" s="23" t="s">
        <v>551</v>
      </c>
      <c r="Q62" s="22" t="s">
        <v>32</v>
      </c>
      <c r="R62" s="22" t="s">
        <v>32</v>
      </c>
      <c r="S62" s="22" t="s">
        <v>32</v>
      </c>
      <c r="T62" s="23" t="s">
        <v>554</v>
      </c>
      <c r="U62" s="22" t="s">
        <v>32</v>
      </c>
      <c r="V62" s="22" t="s">
        <v>555</v>
      </c>
      <c r="W62" s="23" t="s">
        <v>32</v>
      </c>
      <c r="X62" s="22" t="s">
        <v>42</v>
      </c>
      <c r="Y62" s="22" t="s">
        <v>32</v>
      </c>
      <c r="Z62" s="22">
        <v>3.3</v>
      </c>
      <c r="AA62" s="22" t="s">
        <v>65</v>
      </c>
      <c r="AB62" s="1" t="s">
        <v>584</v>
      </c>
      <c r="AC62" s="1" t="s">
        <v>585</v>
      </c>
      <c r="AD62" s="1" t="s">
        <v>570</v>
      </c>
      <c r="AE62" s="1" t="s">
        <v>586</v>
      </c>
      <c r="AF62" s="1" t="s">
        <v>276</v>
      </c>
      <c r="AG62" s="1">
        <v>140</v>
      </c>
      <c r="AH62" s="1" t="s">
        <v>587</v>
      </c>
      <c r="AI62" s="1" t="s">
        <v>588</v>
      </c>
      <c r="AJ62" s="1" t="s">
        <v>564</v>
      </c>
      <c r="AK62" s="1" t="s">
        <v>53</v>
      </c>
      <c r="AL62" s="1">
        <v>-273</v>
      </c>
      <c r="AM62" s="1" t="s">
        <v>580</v>
      </c>
      <c r="AN62" s="1" t="s">
        <v>581</v>
      </c>
      <c r="AO62" s="1" t="s">
        <v>582</v>
      </c>
      <c r="AP62" s="1" t="s">
        <v>78</v>
      </c>
      <c r="AQ62" s="1" t="s">
        <v>113</v>
      </c>
      <c r="AR62" s="1" t="s">
        <v>113</v>
      </c>
      <c r="AS62" s="1" t="s">
        <v>78</v>
      </c>
      <c r="AT62" s="1" t="s">
        <v>57</v>
      </c>
      <c r="AU62" s="1"/>
    </row>
    <row r="63" spans="1:47" ht="18" customHeight="1" x14ac:dyDescent="0.2">
      <c r="A63" s="13">
        <f t="shared" si="0"/>
        <v>60</v>
      </c>
      <c r="B63" s="16" t="s">
        <v>1336</v>
      </c>
      <c r="C63" s="1" t="s">
        <v>1344</v>
      </c>
      <c r="D63" s="22" t="s">
        <v>589</v>
      </c>
      <c r="E63" s="22" t="s">
        <v>32</v>
      </c>
      <c r="F63" s="22" t="s">
        <v>552</v>
      </c>
      <c r="G63" s="23" t="s">
        <v>32</v>
      </c>
      <c r="H63" s="23" t="s">
        <v>32</v>
      </c>
      <c r="I63" s="23" t="s">
        <v>32</v>
      </c>
      <c r="J63" s="23" t="s">
        <v>59</v>
      </c>
      <c r="K63" s="22" t="s">
        <v>556</v>
      </c>
      <c r="L63" s="22" t="s">
        <v>550</v>
      </c>
      <c r="M63" s="22" t="s">
        <v>32</v>
      </c>
      <c r="N63" s="22" t="s">
        <v>32</v>
      </c>
      <c r="O63" s="23" t="s">
        <v>553</v>
      </c>
      <c r="P63" s="23" t="s">
        <v>551</v>
      </c>
      <c r="Q63" s="22" t="s">
        <v>32</v>
      </c>
      <c r="R63" s="22" t="s">
        <v>32</v>
      </c>
      <c r="S63" s="22" t="s">
        <v>32</v>
      </c>
      <c r="T63" s="23" t="s">
        <v>554</v>
      </c>
      <c r="U63" s="22" t="s">
        <v>32</v>
      </c>
      <c r="V63" s="22" t="s">
        <v>555</v>
      </c>
      <c r="W63" s="23" t="s">
        <v>32</v>
      </c>
      <c r="X63" s="22" t="s">
        <v>42</v>
      </c>
      <c r="Y63" s="22" t="s">
        <v>32</v>
      </c>
      <c r="Z63" s="22">
        <v>3.3</v>
      </c>
      <c r="AA63" s="22" t="s">
        <v>65</v>
      </c>
      <c r="AB63" s="1" t="s">
        <v>584</v>
      </c>
      <c r="AC63" s="1" t="s">
        <v>585</v>
      </c>
      <c r="AD63" s="1" t="s">
        <v>570</v>
      </c>
      <c r="AE63" s="1" t="s">
        <v>586</v>
      </c>
      <c r="AF63" s="1" t="s">
        <v>276</v>
      </c>
      <c r="AG63" s="1" t="s">
        <v>32</v>
      </c>
      <c r="AH63" s="1" t="s">
        <v>587</v>
      </c>
      <c r="AI63" s="1" t="s">
        <v>563</v>
      </c>
      <c r="AJ63" s="1" t="s">
        <v>564</v>
      </c>
      <c r="AK63" s="1" t="s">
        <v>53</v>
      </c>
      <c r="AL63" s="1">
        <v>-273</v>
      </c>
      <c r="AM63" s="1" t="s">
        <v>580</v>
      </c>
      <c r="AN63" s="1" t="s">
        <v>581</v>
      </c>
      <c r="AO63" s="1" t="s">
        <v>582</v>
      </c>
      <c r="AP63" s="1" t="s">
        <v>78</v>
      </c>
      <c r="AQ63" s="1" t="s">
        <v>113</v>
      </c>
      <c r="AR63" s="1" t="s">
        <v>113</v>
      </c>
      <c r="AS63" s="1" t="s">
        <v>78</v>
      </c>
      <c r="AT63" s="1" t="s">
        <v>57</v>
      </c>
      <c r="AU63" s="1"/>
    </row>
    <row r="64" spans="1:47" ht="18" customHeight="1" x14ac:dyDescent="0.2">
      <c r="A64" s="13">
        <f t="shared" si="0"/>
        <v>61</v>
      </c>
      <c r="B64" s="16" t="s">
        <v>1336</v>
      </c>
      <c r="C64" s="1" t="s">
        <v>1344</v>
      </c>
      <c r="D64" s="22" t="s">
        <v>590</v>
      </c>
      <c r="E64" s="22" t="s">
        <v>32</v>
      </c>
      <c r="F64" s="22" t="s">
        <v>552</v>
      </c>
      <c r="G64" s="23" t="s">
        <v>32</v>
      </c>
      <c r="H64" s="23" t="s">
        <v>32</v>
      </c>
      <c r="I64" s="23" t="s">
        <v>32</v>
      </c>
      <c r="J64" s="23" t="s">
        <v>59</v>
      </c>
      <c r="K64" s="22" t="s">
        <v>556</v>
      </c>
      <c r="L64" s="22" t="s">
        <v>550</v>
      </c>
      <c r="M64" s="22" t="s">
        <v>32</v>
      </c>
      <c r="N64" s="22" t="s">
        <v>32</v>
      </c>
      <c r="O64" s="23" t="s">
        <v>553</v>
      </c>
      <c r="P64" s="23" t="s">
        <v>551</v>
      </c>
      <c r="Q64" s="22" t="s">
        <v>32</v>
      </c>
      <c r="R64" s="22" t="s">
        <v>32</v>
      </c>
      <c r="S64" s="22" t="s">
        <v>32</v>
      </c>
      <c r="T64" s="23" t="s">
        <v>554</v>
      </c>
      <c r="U64" s="22" t="s">
        <v>32</v>
      </c>
      <c r="V64" s="22" t="s">
        <v>555</v>
      </c>
      <c r="W64" s="23" t="s">
        <v>32</v>
      </c>
      <c r="X64" s="22" t="s">
        <v>42</v>
      </c>
      <c r="Y64" s="22" t="s">
        <v>32</v>
      </c>
      <c r="Z64" s="22">
        <v>3.3</v>
      </c>
      <c r="AA64" s="22" t="s">
        <v>65</v>
      </c>
      <c r="AB64" s="1" t="s">
        <v>584</v>
      </c>
      <c r="AC64" s="1" t="s">
        <v>585</v>
      </c>
      <c r="AD64" s="1" t="s">
        <v>570</v>
      </c>
      <c r="AE64" s="1" t="s">
        <v>586</v>
      </c>
      <c r="AF64" s="1" t="s">
        <v>276</v>
      </c>
      <c r="AG64" s="1" t="s">
        <v>32</v>
      </c>
      <c r="AH64" s="1" t="s">
        <v>587</v>
      </c>
      <c r="AI64" s="1" t="s">
        <v>563</v>
      </c>
      <c r="AJ64" s="1" t="s">
        <v>564</v>
      </c>
      <c r="AK64" s="1" t="s">
        <v>53</v>
      </c>
      <c r="AL64" s="1">
        <v>-273</v>
      </c>
      <c r="AM64" s="1" t="s">
        <v>580</v>
      </c>
      <c r="AN64" s="1" t="s">
        <v>581</v>
      </c>
      <c r="AO64" s="1" t="s">
        <v>582</v>
      </c>
      <c r="AP64" s="1" t="s">
        <v>78</v>
      </c>
      <c r="AQ64" s="1" t="s">
        <v>113</v>
      </c>
      <c r="AR64" s="1" t="s">
        <v>113</v>
      </c>
      <c r="AS64" s="1" t="s">
        <v>78</v>
      </c>
      <c r="AT64" s="1" t="s">
        <v>57</v>
      </c>
      <c r="AU64" s="1"/>
    </row>
    <row r="65" spans="1:47" ht="18" customHeight="1" x14ac:dyDescent="0.2">
      <c r="A65" s="13">
        <f t="shared" si="0"/>
        <v>62</v>
      </c>
      <c r="B65" s="16" t="s">
        <v>1336</v>
      </c>
      <c r="C65" s="1" t="s">
        <v>1344</v>
      </c>
      <c r="D65" s="22" t="s">
        <v>591</v>
      </c>
      <c r="E65" s="22" t="s">
        <v>32</v>
      </c>
      <c r="F65" s="22" t="s">
        <v>552</v>
      </c>
      <c r="G65" s="23" t="s">
        <v>32</v>
      </c>
      <c r="H65" s="23" t="s">
        <v>32</v>
      </c>
      <c r="I65" s="23" t="s">
        <v>32</v>
      </c>
      <c r="J65" s="23" t="s">
        <v>59</v>
      </c>
      <c r="K65" s="22" t="s">
        <v>556</v>
      </c>
      <c r="L65" s="22" t="s">
        <v>550</v>
      </c>
      <c r="M65" s="22" t="s">
        <v>32</v>
      </c>
      <c r="N65" s="22" t="s">
        <v>32</v>
      </c>
      <c r="O65" s="23" t="s">
        <v>553</v>
      </c>
      <c r="P65" s="23" t="s">
        <v>551</v>
      </c>
      <c r="Q65" s="22" t="s">
        <v>32</v>
      </c>
      <c r="R65" s="22" t="s">
        <v>32</v>
      </c>
      <c r="S65" s="22" t="s">
        <v>32</v>
      </c>
      <c r="T65" s="23" t="s">
        <v>554</v>
      </c>
      <c r="U65" s="22" t="s">
        <v>32</v>
      </c>
      <c r="V65" s="22" t="s">
        <v>555</v>
      </c>
      <c r="W65" s="23" t="s">
        <v>32</v>
      </c>
      <c r="X65" s="22" t="s">
        <v>42</v>
      </c>
      <c r="Y65" s="22" t="s">
        <v>32</v>
      </c>
      <c r="Z65" s="22">
        <v>3.3</v>
      </c>
      <c r="AA65" s="22" t="s">
        <v>65</v>
      </c>
      <c r="AB65" s="1" t="s">
        <v>240</v>
      </c>
      <c r="AC65" s="1" t="s">
        <v>592</v>
      </c>
      <c r="AD65" s="1" t="s">
        <v>593</v>
      </c>
      <c r="AE65" s="1" t="s">
        <v>578</v>
      </c>
      <c r="AF65" s="1" t="s">
        <v>276</v>
      </c>
      <c r="AG65" s="1" t="s">
        <v>32</v>
      </c>
      <c r="AH65" s="1" t="s">
        <v>572</v>
      </c>
      <c r="AI65" s="1" t="s">
        <v>594</v>
      </c>
      <c r="AJ65" s="1" t="s">
        <v>579</v>
      </c>
      <c r="AK65" s="1" t="s">
        <v>53</v>
      </c>
      <c r="AL65" s="1">
        <v>-273</v>
      </c>
      <c r="AM65" s="1" t="s">
        <v>580</v>
      </c>
      <c r="AN65" s="1" t="s">
        <v>581</v>
      </c>
      <c r="AO65" s="1" t="s">
        <v>582</v>
      </c>
      <c r="AP65" s="1" t="s">
        <v>78</v>
      </c>
      <c r="AQ65" s="1" t="s">
        <v>113</v>
      </c>
      <c r="AR65" s="1" t="s">
        <v>113</v>
      </c>
      <c r="AS65" s="1" t="s">
        <v>78</v>
      </c>
      <c r="AT65" s="1" t="s">
        <v>57</v>
      </c>
      <c r="AU65" s="1"/>
    </row>
    <row r="66" spans="1:47" ht="18" customHeight="1" x14ac:dyDescent="0.2">
      <c r="A66" s="13">
        <f t="shared" si="0"/>
        <v>63</v>
      </c>
      <c r="B66" s="16" t="s">
        <v>1296</v>
      </c>
      <c r="C66" s="1" t="s">
        <v>1345</v>
      </c>
      <c r="D66" s="22" t="s">
        <v>512</v>
      </c>
      <c r="E66" s="22" t="s">
        <v>32</v>
      </c>
      <c r="F66" s="22" t="s">
        <v>595</v>
      </c>
      <c r="G66" s="23" t="s">
        <v>32</v>
      </c>
      <c r="H66" s="23" t="s">
        <v>32</v>
      </c>
      <c r="I66" s="23" t="s">
        <v>32</v>
      </c>
      <c r="J66" s="23" t="s">
        <v>59</v>
      </c>
      <c r="K66" s="22" t="s">
        <v>418</v>
      </c>
      <c r="L66" s="22" t="s">
        <v>550</v>
      </c>
      <c r="M66" s="22" t="s">
        <v>32</v>
      </c>
      <c r="N66" s="22" t="s">
        <v>32</v>
      </c>
      <c r="O66" s="23" t="s">
        <v>596</v>
      </c>
      <c r="P66" s="23" t="s">
        <v>64</v>
      </c>
      <c r="Q66" s="22" t="s">
        <v>32</v>
      </c>
      <c r="R66" s="22" t="s">
        <v>32</v>
      </c>
      <c r="S66" s="22" t="s">
        <v>32</v>
      </c>
      <c r="T66" s="23" t="s">
        <v>553</v>
      </c>
      <c r="U66" s="22" t="s">
        <v>32</v>
      </c>
      <c r="V66" s="22" t="s">
        <v>226</v>
      </c>
      <c r="W66" s="23" t="s">
        <v>32</v>
      </c>
      <c r="X66" s="22" t="s">
        <v>42</v>
      </c>
      <c r="Y66" s="22" t="s">
        <v>32</v>
      </c>
      <c r="Z66" s="22">
        <v>2.7</v>
      </c>
      <c r="AA66" s="22" t="s">
        <v>65</v>
      </c>
      <c r="AB66" s="1" t="s">
        <v>240</v>
      </c>
      <c r="AC66" s="1" t="s">
        <v>597</v>
      </c>
      <c r="AD66" s="1" t="s">
        <v>598</v>
      </c>
      <c r="AE66" s="1" t="s">
        <v>599</v>
      </c>
      <c r="AF66" s="1" t="s">
        <v>600</v>
      </c>
      <c r="AG66" s="1">
        <v>110</v>
      </c>
      <c r="AH66" s="1" t="s">
        <v>601</v>
      </c>
      <c r="AI66" s="1" t="s">
        <v>602</v>
      </c>
      <c r="AJ66" s="1" t="s">
        <v>603</v>
      </c>
      <c r="AK66" s="1" t="s">
        <v>53</v>
      </c>
      <c r="AL66" s="1">
        <v>-273</v>
      </c>
      <c r="AM66" s="1" t="s">
        <v>604</v>
      </c>
      <c r="AN66" s="1" t="s">
        <v>180</v>
      </c>
      <c r="AO66" s="1" t="s">
        <v>605</v>
      </c>
      <c r="AP66" s="1" t="s">
        <v>113</v>
      </c>
      <c r="AQ66" s="1" t="s">
        <v>78</v>
      </c>
      <c r="AR66" s="1" t="s">
        <v>113</v>
      </c>
      <c r="AS66" s="1" t="s">
        <v>78</v>
      </c>
      <c r="AT66" s="1" t="s">
        <v>57</v>
      </c>
      <c r="AU66" s="1"/>
    </row>
    <row r="67" spans="1:47" ht="18" customHeight="1" x14ac:dyDescent="0.2">
      <c r="A67" s="13">
        <f t="shared" si="0"/>
        <v>64</v>
      </c>
      <c r="B67" s="16" t="s">
        <v>1296</v>
      </c>
      <c r="C67" s="1" t="s">
        <v>1346</v>
      </c>
      <c r="D67" s="22" t="s">
        <v>606</v>
      </c>
      <c r="E67" s="22" t="s">
        <v>32</v>
      </c>
      <c r="F67" s="22" t="s">
        <v>595</v>
      </c>
      <c r="G67" s="23" t="s">
        <v>32</v>
      </c>
      <c r="H67" s="23" t="s">
        <v>32</v>
      </c>
      <c r="I67" s="23" t="s">
        <v>32</v>
      </c>
      <c r="J67" s="23" t="s">
        <v>59</v>
      </c>
      <c r="K67" s="22" t="s">
        <v>418</v>
      </c>
      <c r="L67" s="22" t="s">
        <v>550</v>
      </c>
      <c r="M67" s="22" t="s">
        <v>32</v>
      </c>
      <c r="N67" s="22" t="s">
        <v>32</v>
      </c>
      <c r="O67" s="23" t="s">
        <v>596</v>
      </c>
      <c r="P67" s="23" t="s">
        <v>64</v>
      </c>
      <c r="Q67" s="22" t="s">
        <v>32</v>
      </c>
      <c r="R67" s="22" t="s">
        <v>32</v>
      </c>
      <c r="S67" s="22" t="s">
        <v>32</v>
      </c>
      <c r="T67" s="23" t="s">
        <v>553</v>
      </c>
      <c r="U67" s="22" t="s">
        <v>32</v>
      </c>
      <c r="V67" s="22" t="s">
        <v>226</v>
      </c>
      <c r="W67" s="23" t="s">
        <v>32</v>
      </c>
      <c r="X67" s="22" t="s">
        <v>42</v>
      </c>
      <c r="Y67" s="22" t="s">
        <v>32</v>
      </c>
      <c r="Z67" s="22">
        <v>2.7</v>
      </c>
      <c r="AA67" s="22" t="s">
        <v>65</v>
      </c>
      <c r="AB67" s="1" t="s">
        <v>240</v>
      </c>
      <c r="AC67" s="1" t="s">
        <v>597</v>
      </c>
      <c r="AD67" s="1" t="s">
        <v>607</v>
      </c>
      <c r="AE67" s="1" t="s">
        <v>599</v>
      </c>
      <c r="AF67" s="1" t="s">
        <v>600</v>
      </c>
      <c r="AG67" s="1" t="s">
        <v>32</v>
      </c>
      <c r="AH67" s="1" t="s">
        <v>601</v>
      </c>
      <c r="AI67" s="1" t="s">
        <v>602</v>
      </c>
      <c r="AJ67" s="1" t="s">
        <v>603</v>
      </c>
      <c r="AK67" s="1" t="s">
        <v>53</v>
      </c>
      <c r="AL67" s="1">
        <v>-273</v>
      </c>
      <c r="AM67" s="1" t="s">
        <v>604</v>
      </c>
      <c r="AN67" s="1" t="s">
        <v>180</v>
      </c>
      <c r="AO67" s="1" t="s">
        <v>605</v>
      </c>
      <c r="AP67" s="1" t="s">
        <v>113</v>
      </c>
      <c r="AQ67" s="1" t="s">
        <v>78</v>
      </c>
      <c r="AR67" s="1" t="s">
        <v>113</v>
      </c>
      <c r="AS67" s="1" t="s">
        <v>78</v>
      </c>
      <c r="AT67" s="1" t="s">
        <v>57</v>
      </c>
      <c r="AU67" s="1"/>
    </row>
    <row r="68" spans="1:47" ht="18" customHeight="1" x14ac:dyDescent="0.2">
      <c r="A68" s="13">
        <f t="shared" si="0"/>
        <v>65</v>
      </c>
      <c r="B68" s="16" t="s">
        <v>1296</v>
      </c>
      <c r="C68" s="1" t="s">
        <v>1346</v>
      </c>
      <c r="D68" s="22" t="s">
        <v>608</v>
      </c>
      <c r="E68" s="22" t="s">
        <v>32</v>
      </c>
      <c r="F68" s="22" t="s">
        <v>595</v>
      </c>
      <c r="G68" s="23" t="s">
        <v>32</v>
      </c>
      <c r="H68" s="23" t="s">
        <v>32</v>
      </c>
      <c r="I68" s="23" t="s">
        <v>32</v>
      </c>
      <c r="J68" s="23" t="s">
        <v>59</v>
      </c>
      <c r="K68" s="22" t="s">
        <v>418</v>
      </c>
      <c r="L68" s="22" t="s">
        <v>550</v>
      </c>
      <c r="M68" s="22" t="s">
        <v>32</v>
      </c>
      <c r="N68" s="22" t="s">
        <v>32</v>
      </c>
      <c r="O68" s="23" t="s">
        <v>596</v>
      </c>
      <c r="P68" s="23" t="s">
        <v>64</v>
      </c>
      <c r="Q68" s="22" t="s">
        <v>32</v>
      </c>
      <c r="R68" s="22" t="s">
        <v>32</v>
      </c>
      <c r="S68" s="22" t="s">
        <v>32</v>
      </c>
      <c r="T68" s="23" t="s">
        <v>553</v>
      </c>
      <c r="U68" s="22" t="s">
        <v>32</v>
      </c>
      <c r="V68" s="22" t="s">
        <v>226</v>
      </c>
      <c r="W68" s="23" t="s">
        <v>32</v>
      </c>
      <c r="X68" s="22" t="s">
        <v>42</v>
      </c>
      <c r="Y68" s="22" t="s">
        <v>32</v>
      </c>
      <c r="Z68" s="22">
        <v>2.7</v>
      </c>
      <c r="AA68" s="22" t="s">
        <v>65</v>
      </c>
      <c r="AB68" s="1" t="s">
        <v>240</v>
      </c>
      <c r="AC68" s="1" t="s">
        <v>597</v>
      </c>
      <c r="AD68" s="1" t="s">
        <v>607</v>
      </c>
      <c r="AE68" s="1" t="s">
        <v>599</v>
      </c>
      <c r="AF68" s="1" t="s">
        <v>600</v>
      </c>
      <c r="AG68" s="1" t="s">
        <v>32</v>
      </c>
      <c r="AH68" s="1" t="s">
        <v>601</v>
      </c>
      <c r="AI68" s="1" t="s">
        <v>602</v>
      </c>
      <c r="AJ68" s="1" t="s">
        <v>603</v>
      </c>
      <c r="AK68" s="1" t="s">
        <v>53</v>
      </c>
      <c r="AL68" s="1">
        <v>-273</v>
      </c>
      <c r="AM68" s="1" t="s">
        <v>604</v>
      </c>
      <c r="AN68" s="1" t="s">
        <v>180</v>
      </c>
      <c r="AO68" s="1" t="s">
        <v>605</v>
      </c>
      <c r="AP68" s="1" t="s">
        <v>113</v>
      </c>
      <c r="AQ68" s="1" t="s">
        <v>78</v>
      </c>
      <c r="AR68" s="1" t="s">
        <v>113</v>
      </c>
      <c r="AS68" s="1" t="s">
        <v>78</v>
      </c>
      <c r="AT68" s="1" t="s">
        <v>57</v>
      </c>
      <c r="AU68" s="1"/>
    </row>
    <row r="69" spans="1:47" ht="18" customHeight="1" x14ac:dyDescent="0.2">
      <c r="A69" s="13">
        <f t="shared" si="0"/>
        <v>66</v>
      </c>
      <c r="B69" s="16" t="s">
        <v>1297</v>
      </c>
      <c r="C69" s="1" t="s">
        <v>1347</v>
      </c>
      <c r="D69" s="22" t="s">
        <v>481</v>
      </c>
      <c r="E69" s="22" t="s">
        <v>32</v>
      </c>
      <c r="F69" s="22" t="s">
        <v>611</v>
      </c>
      <c r="G69" s="23" t="s">
        <v>32</v>
      </c>
      <c r="H69" s="23" t="s">
        <v>32</v>
      </c>
      <c r="I69" s="23" t="s">
        <v>32</v>
      </c>
      <c r="J69" s="23" t="s">
        <v>59</v>
      </c>
      <c r="K69" s="22" t="s">
        <v>613</v>
      </c>
      <c r="L69" s="22" t="s">
        <v>609</v>
      </c>
      <c r="M69" s="22" t="s">
        <v>32</v>
      </c>
      <c r="N69" s="22" t="s">
        <v>32</v>
      </c>
      <c r="O69" s="23" t="s">
        <v>612</v>
      </c>
      <c r="P69" s="23" t="s">
        <v>610</v>
      </c>
      <c r="Q69" s="22" t="s">
        <v>32</v>
      </c>
      <c r="R69" s="22" t="s">
        <v>32</v>
      </c>
      <c r="S69" s="22" t="s">
        <v>32</v>
      </c>
      <c r="T69" s="23" t="s">
        <v>98</v>
      </c>
      <c r="U69" s="22" t="s">
        <v>32</v>
      </c>
      <c r="V69" s="22" t="s">
        <v>226</v>
      </c>
      <c r="W69" s="23" t="s">
        <v>32</v>
      </c>
      <c r="X69" s="22" t="s">
        <v>42</v>
      </c>
      <c r="Y69" s="22" t="s">
        <v>32</v>
      </c>
      <c r="Z69" s="22">
        <v>3.3</v>
      </c>
      <c r="AA69" s="22" t="s">
        <v>126</v>
      </c>
      <c r="AB69" s="1" t="s">
        <v>558</v>
      </c>
      <c r="AC69" s="1" t="s">
        <v>499</v>
      </c>
      <c r="AD69" s="1" t="s">
        <v>459</v>
      </c>
      <c r="AE69" s="1" t="s">
        <v>614</v>
      </c>
      <c r="AF69" s="1" t="s">
        <v>615</v>
      </c>
      <c r="AG69" s="1">
        <v>49</v>
      </c>
      <c r="AH69" s="1" t="s">
        <v>616</v>
      </c>
      <c r="AI69" s="1" t="s">
        <v>617</v>
      </c>
      <c r="AJ69" s="1" t="s">
        <v>618</v>
      </c>
      <c r="AK69" s="1" t="s">
        <v>53</v>
      </c>
      <c r="AL69" s="1">
        <v>-273</v>
      </c>
      <c r="AM69" s="1" t="s">
        <v>619</v>
      </c>
      <c r="AN69" s="1" t="s">
        <v>566</v>
      </c>
      <c r="AO69" s="1" t="s">
        <v>620</v>
      </c>
      <c r="AP69" s="1" t="s">
        <v>113</v>
      </c>
      <c r="AQ69" s="1" t="s">
        <v>78</v>
      </c>
      <c r="AR69" s="1" t="s">
        <v>113</v>
      </c>
      <c r="AS69" s="1" t="s">
        <v>78</v>
      </c>
      <c r="AT69" s="1" t="s">
        <v>57</v>
      </c>
      <c r="AU69" s="1"/>
    </row>
    <row r="70" spans="1:47" ht="18" customHeight="1" x14ac:dyDescent="0.2">
      <c r="A70" s="13">
        <f t="shared" ref="A70:A88" si="1">1+A69</f>
        <v>67</v>
      </c>
      <c r="B70" s="16" t="s">
        <v>1297</v>
      </c>
      <c r="C70" s="1" t="s">
        <v>1347</v>
      </c>
      <c r="D70" s="22" t="s">
        <v>621</v>
      </c>
      <c r="E70" s="22" t="s">
        <v>32</v>
      </c>
      <c r="F70" s="22" t="s">
        <v>611</v>
      </c>
      <c r="G70" s="23" t="s">
        <v>32</v>
      </c>
      <c r="H70" s="23" t="s">
        <v>32</v>
      </c>
      <c r="I70" s="23" t="s">
        <v>32</v>
      </c>
      <c r="J70" s="23" t="s">
        <v>59</v>
      </c>
      <c r="K70" s="22" t="s">
        <v>613</v>
      </c>
      <c r="L70" s="22" t="s">
        <v>609</v>
      </c>
      <c r="M70" s="22" t="s">
        <v>32</v>
      </c>
      <c r="N70" s="22" t="s">
        <v>32</v>
      </c>
      <c r="O70" s="23" t="s">
        <v>612</v>
      </c>
      <c r="P70" s="23" t="s">
        <v>610</v>
      </c>
      <c r="Q70" s="22" t="s">
        <v>32</v>
      </c>
      <c r="R70" s="22" t="s">
        <v>32</v>
      </c>
      <c r="S70" s="22" t="s">
        <v>32</v>
      </c>
      <c r="T70" s="23" t="s">
        <v>98</v>
      </c>
      <c r="U70" s="22" t="s">
        <v>32</v>
      </c>
      <c r="V70" s="22" t="s">
        <v>226</v>
      </c>
      <c r="W70" s="23" t="s">
        <v>32</v>
      </c>
      <c r="X70" s="22" t="s">
        <v>42</v>
      </c>
      <c r="Y70" s="22" t="s">
        <v>32</v>
      </c>
      <c r="Z70" s="22">
        <v>3.3</v>
      </c>
      <c r="AA70" s="22" t="s">
        <v>622</v>
      </c>
      <c r="AB70" s="1" t="s">
        <v>240</v>
      </c>
      <c r="AC70" s="1" t="s">
        <v>623</v>
      </c>
      <c r="AD70" s="1" t="s">
        <v>624</v>
      </c>
      <c r="AE70" s="1" t="s">
        <v>625</v>
      </c>
      <c r="AF70" s="1" t="s">
        <v>626</v>
      </c>
      <c r="AG70" s="1">
        <v>120</v>
      </c>
      <c r="AH70" s="1" t="s">
        <v>627</v>
      </c>
      <c r="AI70" s="1" t="s">
        <v>628</v>
      </c>
      <c r="AJ70" s="1" t="s">
        <v>629</v>
      </c>
      <c r="AK70" s="1" t="s">
        <v>53</v>
      </c>
      <c r="AL70" s="1">
        <v>-273</v>
      </c>
      <c r="AM70" s="1" t="s">
        <v>75</v>
      </c>
      <c r="AN70" s="1" t="s">
        <v>630</v>
      </c>
      <c r="AO70" s="1" t="s">
        <v>631</v>
      </c>
      <c r="AP70" s="1" t="s">
        <v>113</v>
      </c>
      <c r="AQ70" s="1" t="s">
        <v>78</v>
      </c>
      <c r="AR70" s="1" t="s">
        <v>113</v>
      </c>
      <c r="AS70" s="1" t="s">
        <v>78</v>
      </c>
      <c r="AT70" s="1" t="s">
        <v>57</v>
      </c>
      <c r="AU70" s="1"/>
    </row>
    <row r="71" spans="1:47" ht="18" customHeight="1" x14ac:dyDescent="0.2">
      <c r="A71" s="13">
        <f t="shared" si="1"/>
        <v>68</v>
      </c>
      <c r="B71" s="16" t="s">
        <v>1297</v>
      </c>
      <c r="C71" s="1" t="s">
        <v>1347</v>
      </c>
      <c r="D71" s="22" t="s">
        <v>632</v>
      </c>
      <c r="E71" s="22" t="s">
        <v>32</v>
      </c>
      <c r="F71" s="22" t="s">
        <v>611</v>
      </c>
      <c r="G71" s="23" t="s">
        <v>32</v>
      </c>
      <c r="H71" s="23" t="s">
        <v>32</v>
      </c>
      <c r="I71" s="23" t="s">
        <v>32</v>
      </c>
      <c r="J71" s="23" t="s">
        <v>59</v>
      </c>
      <c r="K71" s="22" t="s">
        <v>613</v>
      </c>
      <c r="L71" s="22" t="s">
        <v>609</v>
      </c>
      <c r="M71" s="22" t="s">
        <v>32</v>
      </c>
      <c r="N71" s="22" t="s">
        <v>32</v>
      </c>
      <c r="O71" s="23" t="s">
        <v>612</v>
      </c>
      <c r="P71" s="23" t="s">
        <v>610</v>
      </c>
      <c r="Q71" s="22" t="s">
        <v>32</v>
      </c>
      <c r="R71" s="22" t="s">
        <v>32</v>
      </c>
      <c r="S71" s="22" t="s">
        <v>32</v>
      </c>
      <c r="T71" s="23" t="s">
        <v>98</v>
      </c>
      <c r="U71" s="22" t="s">
        <v>32</v>
      </c>
      <c r="V71" s="22" t="s">
        <v>226</v>
      </c>
      <c r="W71" s="23" t="s">
        <v>32</v>
      </c>
      <c r="X71" s="22" t="s">
        <v>42</v>
      </c>
      <c r="Y71" s="22" t="s">
        <v>32</v>
      </c>
      <c r="Z71" s="22">
        <v>3.3</v>
      </c>
      <c r="AA71" s="22" t="s">
        <v>126</v>
      </c>
      <c r="AB71" s="1" t="s">
        <v>240</v>
      </c>
      <c r="AC71" s="1" t="s">
        <v>633</v>
      </c>
      <c r="AD71" s="1" t="s">
        <v>634</v>
      </c>
      <c r="AE71" s="1" t="s">
        <v>635</v>
      </c>
      <c r="AF71" s="1" t="s">
        <v>587</v>
      </c>
      <c r="AG71" s="1">
        <v>120</v>
      </c>
      <c r="AH71" s="1" t="s">
        <v>376</v>
      </c>
      <c r="AI71" s="1" t="s">
        <v>636</v>
      </c>
      <c r="AJ71" s="1" t="s">
        <v>618</v>
      </c>
      <c r="AK71" s="1" t="s">
        <v>53</v>
      </c>
      <c r="AL71" s="1">
        <v>-273</v>
      </c>
      <c r="AM71" s="1" t="s">
        <v>75</v>
      </c>
      <c r="AN71" s="1" t="s">
        <v>630</v>
      </c>
      <c r="AO71" s="1" t="s">
        <v>631</v>
      </c>
      <c r="AP71" s="1" t="s">
        <v>113</v>
      </c>
      <c r="AQ71" s="1" t="s">
        <v>78</v>
      </c>
      <c r="AR71" s="1" t="s">
        <v>113</v>
      </c>
      <c r="AS71" s="1" t="s">
        <v>78</v>
      </c>
      <c r="AT71" s="1" t="s">
        <v>57</v>
      </c>
      <c r="AU71" s="1"/>
    </row>
    <row r="72" spans="1:47" ht="18" customHeight="1" x14ac:dyDescent="0.2">
      <c r="A72" s="13">
        <f t="shared" si="1"/>
        <v>69</v>
      </c>
      <c r="B72" s="16" t="s">
        <v>1297</v>
      </c>
      <c r="C72" s="1" t="s">
        <v>1347</v>
      </c>
      <c r="D72" s="22" t="s">
        <v>637</v>
      </c>
      <c r="E72" s="22" t="s">
        <v>32</v>
      </c>
      <c r="F72" s="22" t="s">
        <v>611</v>
      </c>
      <c r="G72" s="23" t="s">
        <v>32</v>
      </c>
      <c r="H72" s="23" t="s">
        <v>32</v>
      </c>
      <c r="I72" s="23" t="s">
        <v>32</v>
      </c>
      <c r="J72" s="23" t="s">
        <v>59</v>
      </c>
      <c r="K72" s="22" t="s">
        <v>613</v>
      </c>
      <c r="L72" s="22" t="s">
        <v>609</v>
      </c>
      <c r="M72" s="22" t="s">
        <v>32</v>
      </c>
      <c r="N72" s="22" t="s">
        <v>32</v>
      </c>
      <c r="O72" s="23" t="s">
        <v>612</v>
      </c>
      <c r="P72" s="23" t="s">
        <v>610</v>
      </c>
      <c r="Q72" s="22" t="s">
        <v>32</v>
      </c>
      <c r="R72" s="22" t="s">
        <v>32</v>
      </c>
      <c r="S72" s="22" t="s">
        <v>32</v>
      </c>
      <c r="T72" s="23" t="s">
        <v>98</v>
      </c>
      <c r="U72" s="22" t="s">
        <v>32</v>
      </c>
      <c r="V72" s="22" t="s">
        <v>226</v>
      </c>
      <c r="W72" s="23" t="s">
        <v>32</v>
      </c>
      <c r="X72" s="22" t="s">
        <v>42</v>
      </c>
      <c r="Y72" s="22" t="s">
        <v>32</v>
      </c>
      <c r="Z72" s="22">
        <v>3.3</v>
      </c>
      <c r="AA72" s="22" t="s">
        <v>638</v>
      </c>
      <c r="AB72" s="1" t="s">
        <v>584</v>
      </c>
      <c r="AC72" s="1" t="s">
        <v>623</v>
      </c>
      <c r="AD72" s="1" t="s">
        <v>624</v>
      </c>
      <c r="AE72" s="1" t="s">
        <v>635</v>
      </c>
      <c r="AF72" s="1" t="s">
        <v>639</v>
      </c>
      <c r="AG72" s="1" t="s">
        <v>32</v>
      </c>
      <c r="AH72" s="1" t="s">
        <v>640</v>
      </c>
      <c r="AI72" s="1" t="s">
        <v>641</v>
      </c>
      <c r="AJ72" s="1" t="s">
        <v>629</v>
      </c>
      <c r="AK72" s="1" t="s">
        <v>53</v>
      </c>
      <c r="AL72" s="1">
        <v>-273</v>
      </c>
      <c r="AM72" s="1" t="s">
        <v>75</v>
      </c>
      <c r="AN72" s="1" t="s">
        <v>630</v>
      </c>
      <c r="AO72" s="1" t="s">
        <v>631</v>
      </c>
      <c r="AP72" s="1" t="s">
        <v>113</v>
      </c>
      <c r="AQ72" s="1" t="s">
        <v>78</v>
      </c>
      <c r="AR72" s="1" t="s">
        <v>113</v>
      </c>
      <c r="AS72" s="1" t="s">
        <v>78</v>
      </c>
      <c r="AT72" s="1" t="s">
        <v>57</v>
      </c>
      <c r="AU72" s="1"/>
    </row>
    <row r="73" spans="1:47" ht="18" customHeight="1" x14ac:dyDescent="0.2">
      <c r="A73" s="13">
        <f t="shared" si="1"/>
        <v>70</v>
      </c>
      <c r="B73" s="16" t="s">
        <v>1297</v>
      </c>
      <c r="C73" s="1" t="s">
        <v>1347</v>
      </c>
      <c r="D73" s="22" t="s">
        <v>642</v>
      </c>
      <c r="E73" s="22" t="s">
        <v>32</v>
      </c>
      <c r="F73" s="22" t="s">
        <v>611</v>
      </c>
      <c r="G73" s="23" t="s">
        <v>32</v>
      </c>
      <c r="H73" s="23" t="s">
        <v>32</v>
      </c>
      <c r="I73" s="23" t="s">
        <v>32</v>
      </c>
      <c r="J73" s="23" t="s">
        <v>59</v>
      </c>
      <c r="K73" s="22" t="s">
        <v>613</v>
      </c>
      <c r="L73" s="22" t="s">
        <v>609</v>
      </c>
      <c r="M73" s="22" t="s">
        <v>32</v>
      </c>
      <c r="N73" s="22" t="s">
        <v>32</v>
      </c>
      <c r="O73" s="23" t="s">
        <v>612</v>
      </c>
      <c r="P73" s="23" t="s">
        <v>610</v>
      </c>
      <c r="Q73" s="22" t="s">
        <v>32</v>
      </c>
      <c r="R73" s="22" t="s">
        <v>32</v>
      </c>
      <c r="S73" s="22" t="s">
        <v>32</v>
      </c>
      <c r="T73" s="23" t="s">
        <v>98</v>
      </c>
      <c r="U73" s="22" t="s">
        <v>32</v>
      </c>
      <c r="V73" s="22" t="s">
        <v>226</v>
      </c>
      <c r="W73" s="23" t="s">
        <v>32</v>
      </c>
      <c r="X73" s="22" t="s">
        <v>42</v>
      </c>
      <c r="Y73" s="22" t="s">
        <v>32</v>
      </c>
      <c r="Z73" s="22">
        <v>3.3</v>
      </c>
      <c r="AA73" s="22" t="s">
        <v>622</v>
      </c>
      <c r="AB73" s="1" t="s">
        <v>240</v>
      </c>
      <c r="AC73" s="1" t="s">
        <v>643</v>
      </c>
      <c r="AD73" s="1" t="s">
        <v>644</v>
      </c>
      <c r="AE73" s="1" t="s">
        <v>645</v>
      </c>
      <c r="AF73" s="1" t="s">
        <v>639</v>
      </c>
      <c r="AG73" s="1" t="s">
        <v>32</v>
      </c>
      <c r="AH73" s="1" t="s">
        <v>640</v>
      </c>
      <c r="AI73" s="1" t="s">
        <v>628</v>
      </c>
      <c r="AJ73" s="1" t="s">
        <v>629</v>
      </c>
      <c r="AK73" s="1" t="s">
        <v>53</v>
      </c>
      <c r="AL73" s="1">
        <v>-273</v>
      </c>
      <c r="AM73" s="1" t="s">
        <v>75</v>
      </c>
      <c r="AN73" s="1" t="s">
        <v>630</v>
      </c>
      <c r="AO73" s="1" t="s">
        <v>631</v>
      </c>
      <c r="AP73" s="1" t="s">
        <v>113</v>
      </c>
      <c r="AQ73" s="1" t="s">
        <v>78</v>
      </c>
      <c r="AR73" s="1" t="s">
        <v>113</v>
      </c>
      <c r="AS73" s="1" t="s">
        <v>78</v>
      </c>
      <c r="AT73" s="1" t="s">
        <v>57</v>
      </c>
      <c r="AU73" s="1"/>
    </row>
    <row r="74" spans="1:47" ht="18" customHeight="1" x14ac:dyDescent="0.2">
      <c r="A74" s="13">
        <f t="shared" si="1"/>
        <v>71</v>
      </c>
      <c r="B74" s="16" t="s">
        <v>1297</v>
      </c>
      <c r="C74" s="1" t="s">
        <v>1347</v>
      </c>
      <c r="D74" s="22" t="s">
        <v>646</v>
      </c>
      <c r="E74" s="22" t="s">
        <v>32</v>
      </c>
      <c r="F74" s="22" t="s">
        <v>611</v>
      </c>
      <c r="G74" s="23" t="s">
        <v>32</v>
      </c>
      <c r="H74" s="23" t="s">
        <v>32</v>
      </c>
      <c r="I74" s="23" t="s">
        <v>32</v>
      </c>
      <c r="J74" s="23" t="s">
        <v>59</v>
      </c>
      <c r="K74" s="22" t="s">
        <v>613</v>
      </c>
      <c r="L74" s="22" t="s">
        <v>609</v>
      </c>
      <c r="M74" s="22" t="s">
        <v>32</v>
      </c>
      <c r="N74" s="22" t="s">
        <v>32</v>
      </c>
      <c r="O74" s="23" t="s">
        <v>612</v>
      </c>
      <c r="P74" s="23" t="s">
        <v>610</v>
      </c>
      <c r="Q74" s="22" t="s">
        <v>32</v>
      </c>
      <c r="R74" s="22" t="s">
        <v>32</v>
      </c>
      <c r="S74" s="22" t="s">
        <v>32</v>
      </c>
      <c r="T74" s="23" t="s">
        <v>98</v>
      </c>
      <c r="U74" s="22" t="s">
        <v>32</v>
      </c>
      <c r="V74" s="22" t="s">
        <v>226</v>
      </c>
      <c r="W74" s="23" t="s">
        <v>32</v>
      </c>
      <c r="X74" s="22" t="s">
        <v>42</v>
      </c>
      <c r="Y74" s="22" t="s">
        <v>32</v>
      </c>
      <c r="Z74" s="22">
        <v>3.3</v>
      </c>
      <c r="AA74" s="22" t="s">
        <v>622</v>
      </c>
      <c r="AB74" s="1" t="s">
        <v>240</v>
      </c>
      <c r="AC74" s="1" t="s">
        <v>647</v>
      </c>
      <c r="AD74" s="1" t="s">
        <v>648</v>
      </c>
      <c r="AE74" s="1" t="s">
        <v>141</v>
      </c>
      <c r="AF74" s="1" t="s">
        <v>639</v>
      </c>
      <c r="AG74" s="1" t="s">
        <v>32</v>
      </c>
      <c r="AH74" s="1" t="s">
        <v>649</v>
      </c>
      <c r="AI74" s="1" t="s">
        <v>628</v>
      </c>
      <c r="AJ74" s="1" t="s">
        <v>629</v>
      </c>
      <c r="AK74" s="1" t="s">
        <v>53</v>
      </c>
      <c r="AL74" s="1">
        <v>-273</v>
      </c>
      <c r="AM74" s="1" t="s">
        <v>75</v>
      </c>
      <c r="AN74" s="1" t="s">
        <v>630</v>
      </c>
      <c r="AO74" s="1" t="s">
        <v>631</v>
      </c>
      <c r="AP74" s="1" t="s">
        <v>113</v>
      </c>
      <c r="AQ74" s="1" t="s">
        <v>78</v>
      </c>
      <c r="AR74" s="1" t="s">
        <v>113</v>
      </c>
      <c r="AS74" s="1" t="s">
        <v>78</v>
      </c>
      <c r="AT74" s="1" t="s">
        <v>57</v>
      </c>
      <c r="AU74" s="1"/>
    </row>
    <row r="75" spans="1:47" ht="18" customHeight="1" x14ac:dyDescent="0.2">
      <c r="A75" s="13">
        <f t="shared" si="1"/>
        <v>72</v>
      </c>
      <c r="B75" s="16" t="s">
        <v>1297</v>
      </c>
      <c r="C75" s="1" t="s">
        <v>1347</v>
      </c>
      <c r="D75" s="22" t="s">
        <v>512</v>
      </c>
      <c r="E75" s="22" t="s">
        <v>32</v>
      </c>
      <c r="F75" s="22" t="s">
        <v>611</v>
      </c>
      <c r="G75" s="23" t="s">
        <v>32</v>
      </c>
      <c r="H75" s="23" t="s">
        <v>32</v>
      </c>
      <c r="I75" s="23" t="s">
        <v>32</v>
      </c>
      <c r="J75" s="23" t="s">
        <v>59</v>
      </c>
      <c r="K75" s="22" t="s">
        <v>613</v>
      </c>
      <c r="L75" s="22" t="s">
        <v>609</v>
      </c>
      <c r="M75" s="22" t="s">
        <v>32</v>
      </c>
      <c r="N75" s="22" t="s">
        <v>32</v>
      </c>
      <c r="O75" s="23" t="s">
        <v>612</v>
      </c>
      <c r="P75" s="23" t="s">
        <v>610</v>
      </c>
      <c r="Q75" s="22" t="s">
        <v>32</v>
      </c>
      <c r="R75" s="22" t="s">
        <v>32</v>
      </c>
      <c r="S75" s="22" t="s">
        <v>32</v>
      </c>
      <c r="T75" s="23" t="s">
        <v>98</v>
      </c>
      <c r="U75" s="22" t="s">
        <v>32</v>
      </c>
      <c r="V75" s="22" t="s">
        <v>226</v>
      </c>
      <c r="W75" s="23" t="s">
        <v>32</v>
      </c>
      <c r="X75" s="22" t="s">
        <v>42</v>
      </c>
      <c r="Y75" s="22" t="s">
        <v>32</v>
      </c>
      <c r="Z75" s="22">
        <v>3.3</v>
      </c>
      <c r="AA75" s="22" t="s">
        <v>126</v>
      </c>
      <c r="AB75" s="1" t="s">
        <v>568</v>
      </c>
      <c r="AC75" s="1" t="s">
        <v>650</v>
      </c>
      <c r="AD75" s="1" t="s">
        <v>651</v>
      </c>
      <c r="AE75" s="1" t="s">
        <v>652</v>
      </c>
      <c r="AF75" s="1" t="s">
        <v>587</v>
      </c>
      <c r="AG75" s="1">
        <v>120</v>
      </c>
      <c r="AH75" s="1" t="s">
        <v>376</v>
      </c>
      <c r="AI75" s="1" t="s">
        <v>653</v>
      </c>
      <c r="AJ75" s="1" t="s">
        <v>618</v>
      </c>
      <c r="AK75" s="1" t="s">
        <v>53</v>
      </c>
      <c r="AL75" s="1">
        <v>-273</v>
      </c>
      <c r="AM75" s="1" t="s">
        <v>654</v>
      </c>
      <c r="AN75" s="1" t="s">
        <v>655</v>
      </c>
      <c r="AO75" s="1" t="s">
        <v>620</v>
      </c>
      <c r="AP75" s="1" t="s">
        <v>113</v>
      </c>
      <c r="AQ75" s="1" t="s">
        <v>78</v>
      </c>
      <c r="AR75" s="1" t="s">
        <v>113</v>
      </c>
      <c r="AS75" s="1" t="s">
        <v>78</v>
      </c>
      <c r="AT75" s="1" t="s">
        <v>57</v>
      </c>
      <c r="AU75" s="1"/>
    </row>
    <row r="76" spans="1:47" ht="18" customHeight="1" x14ac:dyDescent="0.2">
      <c r="A76" s="13">
        <f t="shared" si="1"/>
        <v>73</v>
      </c>
      <c r="B76" s="16" t="s">
        <v>1297</v>
      </c>
      <c r="C76" s="1" t="s">
        <v>1348</v>
      </c>
      <c r="D76" s="22" t="s">
        <v>606</v>
      </c>
      <c r="E76" s="22" t="s">
        <v>32</v>
      </c>
      <c r="F76" s="22" t="s">
        <v>611</v>
      </c>
      <c r="G76" s="23" t="s">
        <v>32</v>
      </c>
      <c r="H76" s="23" t="s">
        <v>32</v>
      </c>
      <c r="I76" s="23" t="s">
        <v>32</v>
      </c>
      <c r="J76" s="23" t="s">
        <v>59</v>
      </c>
      <c r="K76" s="22" t="s">
        <v>613</v>
      </c>
      <c r="L76" s="22" t="s">
        <v>609</v>
      </c>
      <c r="M76" s="22" t="s">
        <v>32</v>
      </c>
      <c r="N76" s="22" t="s">
        <v>32</v>
      </c>
      <c r="O76" s="23" t="s">
        <v>612</v>
      </c>
      <c r="P76" s="23" t="s">
        <v>610</v>
      </c>
      <c r="Q76" s="22" t="s">
        <v>32</v>
      </c>
      <c r="R76" s="22" t="s">
        <v>32</v>
      </c>
      <c r="S76" s="22" t="s">
        <v>32</v>
      </c>
      <c r="T76" s="23" t="s">
        <v>98</v>
      </c>
      <c r="U76" s="22" t="s">
        <v>32</v>
      </c>
      <c r="V76" s="22" t="s">
        <v>226</v>
      </c>
      <c r="W76" s="23" t="s">
        <v>32</v>
      </c>
      <c r="X76" s="22" t="s">
        <v>42</v>
      </c>
      <c r="Y76" s="22" t="s">
        <v>32</v>
      </c>
      <c r="Z76" s="22">
        <v>3.3</v>
      </c>
      <c r="AA76" s="22" t="s">
        <v>622</v>
      </c>
      <c r="AB76" s="1" t="s">
        <v>240</v>
      </c>
      <c r="AC76" s="1" t="s">
        <v>656</v>
      </c>
      <c r="AD76" s="1" t="s">
        <v>657</v>
      </c>
      <c r="AE76" s="1" t="s">
        <v>658</v>
      </c>
      <c r="AF76" s="1" t="s">
        <v>639</v>
      </c>
      <c r="AG76" s="1">
        <v>120</v>
      </c>
      <c r="AH76" s="1" t="s">
        <v>640</v>
      </c>
      <c r="AI76" s="1" t="s">
        <v>628</v>
      </c>
      <c r="AJ76" s="1" t="s">
        <v>629</v>
      </c>
      <c r="AK76" s="1" t="s">
        <v>53</v>
      </c>
      <c r="AL76" s="1">
        <v>-273</v>
      </c>
      <c r="AM76" s="1" t="s">
        <v>75</v>
      </c>
      <c r="AN76" s="1" t="s">
        <v>630</v>
      </c>
      <c r="AO76" s="1" t="s">
        <v>631</v>
      </c>
      <c r="AP76" s="1" t="s">
        <v>113</v>
      </c>
      <c r="AQ76" s="1" t="s">
        <v>78</v>
      </c>
      <c r="AR76" s="1" t="s">
        <v>113</v>
      </c>
      <c r="AS76" s="1" t="s">
        <v>78</v>
      </c>
      <c r="AT76" s="1" t="s">
        <v>57</v>
      </c>
      <c r="AU76" s="1"/>
    </row>
    <row r="77" spans="1:47" ht="18" customHeight="1" x14ac:dyDescent="0.2">
      <c r="A77" s="13">
        <f t="shared" si="1"/>
        <v>74</v>
      </c>
      <c r="B77" s="16" t="s">
        <v>1297</v>
      </c>
      <c r="C77" s="1" t="s">
        <v>1347</v>
      </c>
      <c r="D77" s="22" t="s">
        <v>294</v>
      </c>
      <c r="E77" s="22" t="s">
        <v>32</v>
      </c>
      <c r="F77" s="22" t="s">
        <v>611</v>
      </c>
      <c r="G77" s="23" t="s">
        <v>32</v>
      </c>
      <c r="H77" s="23" t="s">
        <v>32</v>
      </c>
      <c r="I77" s="23" t="s">
        <v>32</v>
      </c>
      <c r="J77" s="23" t="s">
        <v>59</v>
      </c>
      <c r="K77" s="22" t="s">
        <v>613</v>
      </c>
      <c r="L77" s="22" t="s">
        <v>609</v>
      </c>
      <c r="M77" s="22" t="s">
        <v>32</v>
      </c>
      <c r="N77" s="22" t="s">
        <v>32</v>
      </c>
      <c r="O77" s="23" t="s">
        <v>612</v>
      </c>
      <c r="P77" s="23" t="s">
        <v>610</v>
      </c>
      <c r="Q77" s="22" t="s">
        <v>32</v>
      </c>
      <c r="R77" s="22" t="s">
        <v>32</v>
      </c>
      <c r="S77" s="22" t="s">
        <v>32</v>
      </c>
      <c r="T77" s="23" t="s">
        <v>98</v>
      </c>
      <c r="U77" s="22" t="s">
        <v>32</v>
      </c>
      <c r="V77" s="22" t="s">
        <v>226</v>
      </c>
      <c r="W77" s="23" t="s">
        <v>32</v>
      </c>
      <c r="X77" s="22" t="s">
        <v>42</v>
      </c>
      <c r="Y77" s="22" t="s">
        <v>32</v>
      </c>
      <c r="Z77" s="22">
        <v>3.3</v>
      </c>
      <c r="AA77" s="22" t="s">
        <v>622</v>
      </c>
      <c r="AB77" s="1" t="s">
        <v>240</v>
      </c>
      <c r="AC77" s="1" t="s">
        <v>659</v>
      </c>
      <c r="AD77" s="1" t="s">
        <v>660</v>
      </c>
      <c r="AE77" s="1" t="s">
        <v>665</v>
      </c>
      <c r="AF77" s="1" t="s">
        <v>639</v>
      </c>
      <c r="AG77" s="1" t="s">
        <v>32</v>
      </c>
      <c r="AH77" s="1" t="s">
        <v>640</v>
      </c>
      <c r="AI77" s="1" t="s">
        <v>628</v>
      </c>
      <c r="AJ77" s="1" t="s">
        <v>629</v>
      </c>
      <c r="AK77" s="1" t="s">
        <v>53</v>
      </c>
      <c r="AL77" s="1">
        <v>-273</v>
      </c>
      <c r="AM77" s="1" t="s">
        <v>661</v>
      </c>
      <c r="AN77" s="1" t="s">
        <v>662</v>
      </c>
      <c r="AO77" s="1" t="s">
        <v>631</v>
      </c>
      <c r="AP77" s="1" t="s">
        <v>113</v>
      </c>
      <c r="AQ77" s="1" t="s">
        <v>78</v>
      </c>
      <c r="AR77" s="1" t="s">
        <v>113</v>
      </c>
      <c r="AS77" s="1" t="s">
        <v>78</v>
      </c>
      <c r="AT77" s="1" t="s">
        <v>57</v>
      </c>
      <c r="AU77" s="1"/>
    </row>
    <row r="78" spans="1:47" s="52" customFormat="1" ht="18" customHeight="1" x14ac:dyDescent="0.2">
      <c r="A78" s="48">
        <f t="shared" si="1"/>
        <v>75</v>
      </c>
      <c r="B78" s="49" t="s">
        <v>1297</v>
      </c>
      <c r="C78" s="50" t="s">
        <v>1347</v>
      </c>
      <c r="D78" s="50" t="s">
        <v>529</v>
      </c>
      <c r="E78" s="50" t="s">
        <v>32</v>
      </c>
      <c r="F78" s="50" t="s">
        <v>611</v>
      </c>
      <c r="G78" s="51" t="s">
        <v>32</v>
      </c>
      <c r="H78" s="51" t="s">
        <v>32</v>
      </c>
      <c r="I78" s="51" t="s">
        <v>32</v>
      </c>
      <c r="J78" s="51" t="s">
        <v>59</v>
      </c>
      <c r="K78" s="50" t="s">
        <v>613</v>
      </c>
      <c r="L78" s="50" t="s">
        <v>609</v>
      </c>
      <c r="M78" s="50" t="s">
        <v>32</v>
      </c>
      <c r="N78" s="50" t="s">
        <v>32</v>
      </c>
      <c r="O78" s="51" t="s">
        <v>612</v>
      </c>
      <c r="P78" s="51" t="s">
        <v>610</v>
      </c>
      <c r="Q78" s="50" t="s">
        <v>32</v>
      </c>
      <c r="R78" s="50" t="s">
        <v>32</v>
      </c>
      <c r="S78" s="50" t="s">
        <v>32</v>
      </c>
      <c r="T78" s="51" t="s">
        <v>98</v>
      </c>
      <c r="U78" s="50" t="s">
        <v>32</v>
      </c>
      <c r="V78" s="50" t="s">
        <v>226</v>
      </c>
      <c r="W78" s="51" t="s">
        <v>32</v>
      </c>
      <c r="X78" s="50" t="s">
        <v>42</v>
      </c>
      <c r="Y78" s="50" t="s">
        <v>32</v>
      </c>
      <c r="Z78" s="50">
        <v>3.3</v>
      </c>
      <c r="AA78" s="50" t="s">
        <v>622</v>
      </c>
      <c r="AB78" s="50" t="s">
        <v>240</v>
      </c>
      <c r="AC78" s="50" t="s">
        <v>663</v>
      </c>
      <c r="AD78" s="50" t="s">
        <v>664</v>
      </c>
      <c r="AE78" s="50" t="s">
        <v>665</v>
      </c>
      <c r="AF78" s="50" t="s">
        <v>639</v>
      </c>
      <c r="AG78" s="50">
        <v>130</v>
      </c>
      <c r="AH78" s="50" t="s">
        <v>640</v>
      </c>
      <c r="AI78" s="50" t="s">
        <v>628</v>
      </c>
      <c r="AJ78" s="50" t="s">
        <v>629</v>
      </c>
      <c r="AK78" s="50" t="s">
        <v>53</v>
      </c>
      <c r="AL78" s="50">
        <v>-273</v>
      </c>
      <c r="AM78" s="50" t="s">
        <v>661</v>
      </c>
      <c r="AN78" s="50" t="s">
        <v>630</v>
      </c>
      <c r="AO78" s="50" t="s">
        <v>631</v>
      </c>
      <c r="AP78" s="50" t="s">
        <v>113</v>
      </c>
      <c r="AQ78" s="50" t="s">
        <v>78</v>
      </c>
      <c r="AR78" s="50" t="s">
        <v>113</v>
      </c>
      <c r="AS78" s="50" t="s">
        <v>78</v>
      </c>
      <c r="AT78" s="50" t="s">
        <v>57</v>
      </c>
      <c r="AU78" s="50"/>
    </row>
    <row r="79" spans="1:47" ht="18" customHeight="1" x14ac:dyDescent="0.2">
      <c r="A79" s="13">
        <f t="shared" si="1"/>
        <v>76</v>
      </c>
      <c r="B79" s="16" t="s">
        <v>1297</v>
      </c>
      <c r="C79" s="1" t="s">
        <v>1347</v>
      </c>
      <c r="D79" s="22" t="s">
        <v>666</v>
      </c>
      <c r="E79" s="22" t="s">
        <v>32</v>
      </c>
      <c r="F79" s="22" t="s">
        <v>611</v>
      </c>
      <c r="G79" s="23" t="s">
        <v>32</v>
      </c>
      <c r="H79" s="23" t="s">
        <v>32</v>
      </c>
      <c r="I79" s="23" t="s">
        <v>32</v>
      </c>
      <c r="J79" s="23" t="s">
        <v>59</v>
      </c>
      <c r="K79" s="22" t="s">
        <v>613</v>
      </c>
      <c r="L79" s="22" t="s">
        <v>609</v>
      </c>
      <c r="M79" s="22" t="s">
        <v>32</v>
      </c>
      <c r="N79" s="22" t="s">
        <v>32</v>
      </c>
      <c r="O79" s="23" t="s">
        <v>612</v>
      </c>
      <c r="P79" s="23" t="s">
        <v>610</v>
      </c>
      <c r="Q79" s="22" t="s">
        <v>32</v>
      </c>
      <c r="R79" s="22" t="s">
        <v>32</v>
      </c>
      <c r="S79" s="22" t="s">
        <v>32</v>
      </c>
      <c r="T79" s="23" t="s">
        <v>98</v>
      </c>
      <c r="U79" s="22" t="s">
        <v>32</v>
      </c>
      <c r="V79" s="22" t="s">
        <v>226</v>
      </c>
      <c r="W79" s="23" t="s">
        <v>32</v>
      </c>
      <c r="X79" s="22" t="s">
        <v>42</v>
      </c>
      <c r="Y79" s="22" t="s">
        <v>32</v>
      </c>
      <c r="Z79" s="22">
        <v>3.3</v>
      </c>
      <c r="AA79" s="22" t="s">
        <v>622</v>
      </c>
      <c r="AB79" s="1" t="s">
        <v>240</v>
      </c>
      <c r="AC79" s="1" t="s">
        <v>667</v>
      </c>
      <c r="AD79" s="1" t="s">
        <v>668</v>
      </c>
      <c r="AE79" s="1" t="s">
        <v>665</v>
      </c>
      <c r="AF79" s="1" t="s">
        <v>639</v>
      </c>
      <c r="AG79" s="1" t="s">
        <v>32</v>
      </c>
      <c r="AH79" s="1" t="s">
        <v>640</v>
      </c>
      <c r="AI79" s="1" t="s">
        <v>628</v>
      </c>
      <c r="AJ79" s="1" t="s">
        <v>629</v>
      </c>
      <c r="AK79" s="1" t="s">
        <v>53</v>
      </c>
      <c r="AL79" s="1">
        <v>-273</v>
      </c>
      <c r="AM79" s="1" t="s">
        <v>661</v>
      </c>
      <c r="AN79" s="1" t="s">
        <v>630</v>
      </c>
      <c r="AO79" s="1" t="s">
        <v>631</v>
      </c>
      <c r="AP79" s="1" t="s">
        <v>113</v>
      </c>
      <c r="AQ79" s="1" t="s">
        <v>78</v>
      </c>
      <c r="AR79" s="1" t="s">
        <v>113</v>
      </c>
      <c r="AS79" s="1" t="s">
        <v>78</v>
      </c>
      <c r="AT79" s="1" t="s">
        <v>57</v>
      </c>
      <c r="AU79" s="1"/>
    </row>
    <row r="80" spans="1:47" ht="18" customHeight="1" x14ac:dyDescent="0.2">
      <c r="A80" s="13">
        <f t="shared" si="1"/>
        <v>77</v>
      </c>
      <c r="B80" s="16" t="s">
        <v>1297</v>
      </c>
      <c r="C80" s="1" t="s">
        <v>1347</v>
      </c>
      <c r="D80" s="22" t="s">
        <v>669</v>
      </c>
      <c r="E80" s="22" t="s">
        <v>32</v>
      </c>
      <c r="F80" s="22" t="s">
        <v>611</v>
      </c>
      <c r="G80" s="23" t="s">
        <v>32</v>
      </c>
      <c r="H80" s="23" t="s">
        <v>32</v>
      </c>
      <c r="I80" s="23" t="s">
        <v>32</v>
      </c>
      <c r="J80" s="23" t="s">
        <v>59</v>
      </c>
      <c r="K80" s="22" t="s">
        <v>613</v>
      </c>
      <c r="L80" s="22" t="s">
        <v>609</v>
      </c>
      <c r="M80" s="22" t="s">
        <v>32</v>
      </c>
      <c r="N80" s="22" t="s">
        <v>32</v>
      </c>
      <c r="O80" s="23" t="s">
        <v>612</v>
      </c>
      <c r="P80" s="23" t="s">
        <v>610</v>
      </c>
      <c r="Q80" s="22" t="s">
        <v>32</v>
      </c>
      <c r="R80" s="22" t="s">
        <v>32</v>
      </c>
      <c r="S80" s="22" t="s">
        <v>32</v>
      </c>
      <c r="T80" s="23" t="s">
        <v>98</v>
      </c>
      <c r="U80" s="22" t="s">
        <v>32</v>
      </c>
      <c r="V80" s="22" t="s">
        <v>226</v>
      </c>
      <c r="W80" s="23" t="s">
        <v>32</v>
      </c>
      <c r="X80" s="22" t="s">
        <v>42</v>
      </c>
      <c r="Y80" s="22" t="s">
        <v>32</v>
      </c>
      <c r="Z80" s="22">
        <v>3.3</v>
      </c>
      <c r="AA80" s="22" t="s">
        <v>622</v>
      </c>
      <c r="AB80" s="1" t="s">
        <v>240</v>
      </c>
      <c r="AC80" s="1" t="s">
        <v>670</v>
      </c>
      <c r="AD80" s="1" t="s">
        <v>671</v>
      </c>
      <c r="AE80" s="1" t="s">
        <v>83</v>
      </c>
      <c r="AF80" s="1" t="s">
        <v>639</v>
      </c>
      <c r="AG80" s="1" t="s">
        <v>32</v>
      </c>
      <c r="AH80" s="1" t="s">
        <v>640</v>
      </c>
      <c r="AI80" s="1" t="s">
        <v>628</v>
      </c>
      <c r="AJ80" s="1" t="s">
        <v>629</v>
      </c>
      <c r="AK80" s="1" t="s">
        <v>53</v>
      </c>
      <c r="AL80" s="1">
        <v>-273</v>
      </c>
      <c r="AM80" s="1" t="s">
        <v>672</v>
      </c>
      <c r="AN80" s="1" t="s">
        <v>630</v>
      </c>
      <c r="AO80" s="1" t="s">
        <v>631</v>
      </c>
      <c r="AP80" s="1" t="s">
        <v>113</v>
      </c>
      <c r="AQ80" s="1" t="s">
        <v>78</v>
      </c>
      <c r="AR80" s="1" t="s">
        <v>113</v>
      </c>
      <c r="AS80" s="1" t="s">
        <v>78</v>
      </c>
      <c r="AT80" s="1" t="s">
        <v>57</v>
      </c>
      <c r="AU80" s="1"/>
    </row>
    <row r="81" spans="1:47" ht="18" customHeight="1" x14ac:dyDescent="0.2">
      <c r="A81" s="13">
        <f t="shared" si="1"/>
        <v>78</v>
      </c>
      <c r="B81" s="16" t="s">
        <v>1298</v>
      </c>
      <c r="C81" s="1" t="s">
        <v>1347</v>
      </c>
      <c r="D81" s="22" t="s">
        <v>673</v>
      </c>
      <c r="E81" s="22" t="s">
        <v>32</v>
      </c>
      <c r="F81" s="22" t="s">
        <v>611</v>
      </c>
      <c r="G81" s="23" t="s">
        <v>32</v>
      </c>
      <c r="H81" s="23" t="s">
        <v>32</v>
      </c>
      <c r="I81" s="23" t="s">
        <v>32</v>
      </c>
      <c r="J81" s="23" t="s">
        <v>59</v>
      </c>
      <c r="K81" s="22" t="s">
        <v>613</v>
      </c>
      <c r="L81" s="22" t="s">
        <v>609</v>
      </c>
      <c r="M81" s="22" t="s">
        <v>32</v>
      </c>
      <c r="N81" s="22" t="s">
        <v>32</v>
      </c>
      <c r="O81" s="23" t="s">
        <v>612</v>
      </c>
      <c r="P81" s="23" t="s">
        <v>610</v>
      </c>
      <c r="Q81" s="22" t="s">
        <v>32</v>
      </c>
      <c r="R81" s="22" t="s">
        <v>32</v>
      </c>
      <c r="S81" s="22" t="s">
        <v>32</v>
      </c>
      <c r="T81" s="23" t="s">
        <v>98</v>
      </c>
      <c r="U81" s="22" t="s">
        <v>32</v>
      </c>
      <c r="V81" s="22" t="s">
        <v>226</v>
      </c>
      <c r="W81" s="23" t="s">
        <v>32</v>
      </c>
      <c r="X81" s="22" t="s">
        <v>42</v>
      </c>
      <c r="Y81" s="22" t="s">
        <v>32</v>
      </c>
      <c r="Z81" s="22">
        <v>3.3</v>
      </c>
      <c r="AA81" s="22" t="s">
        <v>622</v>
      </c>
      <c r="AB81" s="1" t="s">
        <v>240</v>
      </c>
      <c r="AC81" s="1" t="s">
        <v>68</v>
      </c>
      <c r="AD81" s="1" t="s">
        <v>674</v>
      </c>
      <c r="AE81" s="1" t="s">
        <v>665</v>
      </c>
      <c r="AF81" s="1" t="s">
        <v>639</v>
      </c>
      <c r="AG81" s="1">
        <v>140</v>
      </c>
      <c r="AH81" s="1" t="s">
        <v>640</v>
      </c>
      <c r="AI81" s="1" t="s">
        <v>675</v>
      </c>
      <c r="AJ81" s="1" t="s">
        <v>629</v>
      </c>
      <c r="AK81" s="1" t="s">
        <v>53</v>
      </c>
      <c r="AL81" s="1">
        <v>-273</v>
      </c>
      <c r="AM81" s="1" t="s">
        <v>661</v>
      </c>
      <c r="AN81" s="1" t="s">
        <v>630</v>
      </c>
      <c r="AO81" s="1" t="s">
        <v>631</v>
      </c>
      <c r="AP81" s="1" t="s">
        <v>113</v>
      </c>
      <c r="AQ81" s="1" t="s">
        <v>78</v>
      </c>
      <c r="AR81" s="1" t="s">
        <v>113</v>
      </c>
      <c r="AS81" s="1" t="s">
        <v>78</v>
      </c>
      <c r="AT81" s="1" t="s">
        <v>57</v>
      </c>
      <c r="AU81" s="1"/>
    </row>
    <row r="82" spans="1:47" ht="18" customHeight="1" x14ac:dyDescent="0.2">
      <c r="A82" s="13">
        <f t="shared" si="1"/>
        <v>79</v>
      </c>
      <c r="B82" s="16" t="s">
        <v>1299</v>
      </c>
      <c r="C82" s="1" t="s">
        <v>1349</v>
      </c>
      <c r="D82" s="22" t="s">
        <v>294</v>
      </c>
      <c r="E82" s="22" t="s">
        <v>32</v>
      </c>
      <c r="F82" s="22" t="s">
        <v>676</v>
      </c>
      <c r="G82" s="23" t="s">
        <v>32</v>
      </c>
      <c r="H82" s="23" t="s">
        <v>32</v>
      </c>
      <c r="I82" s="23" t="s">
        <v>32</v>
      </c>
      <c r="J82" s="23" t="s">
        <v>59</v>
      </c>
      <c r="K82" s="22" t="s">
        <v>556</v>
      </c>
      <c r="L82" s="22" t="s">
        <v>97</v>
      </c>
      <c r="M82" s="22" t="s">
        <v>32</v>
      </c>
      <c r="N82" s="22" t="s">
        <v>32</v>
      </c>
      <c r="O82" s="23" t="s">
        <v>39</v>
      </c>
      <c r="P82" s="23" t="s">
        <v>39</v>
      </c>
      <c r="Q82" s="22" t="s">
        <v>32</v>
      </c>
      <c r="R82" s="22" t="s">
        <v>32</v>
      </c>
      <c r="S82" s="22" t="s">
        <v>32</v>
      </c>
      <c r="T82" s="23" t="s">
        <v>554</v>
      </c>
      <c r="U82" s="22" t="s">
        <v>32</v>
      </c>
      <c r="V82" s="22" t="s">
        <v>42</v>
      </c>
      <c r="W82" s="23" t="s">
        <v>32</v>
      </c>
      <c r="X82" s="22" t="s">
        <v>42</v>
      </c>
      <c r="Y82" s="22" t="s">
        <v>32</v>
      </c>
      <c r="Z82" s="22">
        <v>1.4</v>
      </c>
      <c r="AA82" s="22" t="s">
        <v>65</v>
      </c>
      <c r="AB82" s="1" t="s">
        <v>66</v>
      </c>
      <c r="AC82" s="1" t="s">
        <v>597</v>
      </c>
      <c r="AD82" s="1" t="s">
        <v>643</v>
      </c>
      <c r="AE82" s="1" t="s">
        <v>373</v>
      </c>
      <c r="AF82" s="1" t="s">
        <v>677</v>
      </c>
      <c r="AG82" s="1">
        <v>110</v>
      </c>
      <c r="AH82" s="1" t="s">
        <v>678</v>
      </c>
      <c r="AI82" s="1" t="s">
        <v>602</v>
      </c>
      <c r="AJ82" s="1" t="s">
        <v>679</v>
      </c>
      <c r="AK82" s="1" t="s">
        <v>53</v>
      </c>
      <c r="AL82" s="1">
        <v>-273</v>
      </c>
      <c r="AM82" s="1" t="s">
        <v>680</v>
      </c>
      <c r="AN82" s="1" t="s">
        <v>180</v>
      </c>
      <c r="AO82" s="1" t="s">
        <v>681</v>
      </c>
      <c r="AP82" s="1" t="s">
        <v>78</v>
      </c>
      <c r="AQ82" s="1" t="s">
        <v>113</v>
      </c>
      <c r="AR82" s="1" t="s">
        <v>113</v>
      </c>
      <c r="AS82" s="1" t="s">
        <v>78</v>
      </c>
      <c r="AT82" s="1" t="s">
        <v>57</v>
      </c>
      <c r="AU82" s="1"/>
    </row>
    <row r="83" spans="1:47" ht="18" customHeight="1" x14ac:dyDescent="0.2">
      <c r="A83" s="13">
        <f t="shared" si="1"/>
        <v>80</v>
      </c>
      <c r="B83" s="16" t="s">
        <v>1300</v>
      </c>
      <c r="C83" s="1" t="s">
        <v>1350</v>
      </c>
      <c r="D83" s="22" t="s">
        <v>682</v>
      </c>
      <c r="E83" s="22" t="s">
        <v>32</v>
      </c>
      <c r="F83" s="22" t="s">
        <v>687</v>
      </c>
      <c r="G83" s="23" t="s">
        <v>32</v>
      </c>
      <c r="H83" s="23" t="s">
        <v>32</v>
      </c>
      <c r="I83" s="23" t="s">
        <v>32</v>
      </c>
      <c r="J83" s="23" t="s">
        <v>32</v>
      </c>
      <c r="K83" s="22" t="s">
        <v>690</v>
      </c>
      <c r="L83" s="22" t="s">
        <v>683</v>
      </c>
      <c r="M83" s="22" t="s">
        <v>32</v>
      </c>
      <c r="N83" s="22" t="s">
        <v>32</v>
      </c>
      <c r="O83" s="23" t="s">
        <v>688</v>
      </c>
      <c r="P83" s="23" t="s">
        <v>686</v>
      </c>
      <c r="Q83" s="22" t="s">
        <v>32</v>
      </c>
      <c r="R83" s="22" t="s">
        <v>32</v>
      </c>
      <c r="S83" s="22" t="s">
        <v>32</v>
      </c>
      <c r="T83" s="23" t="s">
        <v>39</v>
      </c>
      <c r="U83" s="22" t="s">
        <v>32</v>
      </c>
      <c r="V83" s="22" t="s">
        <v>689</v>
      </c>
      <c r="W83" s="23" t="s">
        <v>32</v>
      </c>
      <c r="X83" s="22" t="s">
        <v>59</v>
      </c>
      <c r="Y83" s="22" t="s">
        <v>685</v>
      </c>
      <c r="Z83" s="22">
        <v>2.4500000000000002</v>
      </c>
      <c r="AA83" s="22" t="s">
        <v>126</v>
      </c>
      <c r="AB83" s="1" t="s">
        <v>691</v>
      </c>
      <c r="AC83" s="1" t="s">
        <v>692</v>
      </c>
      <c r="AD83" s="1" t="s">
        <v>693</v>
      </c>
      <c r="AE83" s="1" t="s">
        <v>694</v>
      </c>
      <c r="AF83" s="1" t="s">
        <v>695</v>
      </c>
      <c r="AG83" s="1" t="s">
        <v>32</v>
      </c>
      <c r="AH83" s="1" t="s">
        <v>696</v>
      </c>
      <c r="AI83" s="1" t="s">
        <v>697</v>
      </c>
      <c r="AJ83" s="1" t="s">
        <v>618</v>
      </c>
      <c r="AK83" s="1" t="s">
        <v>53</v>
      </c>
      <c r="AL83" s="1">
        <v>-273</v>
      </c>
      <c r="AM83" s="1" t="s">
        <v>698</v>
      </c>
      <c r="AN83" s="1" t="s">
        <v>630</v>
      </c>
      <c r="AO83" s="1" t="s">
        <v>699</v>
      </c>
      <c r="AP83" s="1" t="s">
        <v>78</v>
      </c>
      <c r="AQ83" s="1" t="s">
        <v>113</v>
      </c>
      <c r="AR83" s="1" t="s">
        <v>113</v>
      </c>
      <c r="AS83" s="1" t="s">
        <v>78</v>
      </c>
      <c r="AT83" s="1" t="s">
        <v>57</v>
      </c>
      <c r="AU83" s="1"/>
    </row>
    <row r="84" spans="1:47" ht="18" customHeight="1" x14ac:dyDescent="0.2">
      <c r="A84" s="13">
        <f t="shared" si="1"/>
        <v>81</v>
      </c>
      <c r="B84" s="16" t="s">
        <v>1300</v>
      </c>
      <c r="C84" s="1" t="s">
        <v>1351</v>
      </c>
      <c r="D84" s="22" t="s">
        <v>481</v>
      </c>
      <c r="E84" s="22" t="s">
        <v>32</v>
      </c>
      <c r="F84" s="22" t="s">
        <v>700</v>
      </c>
      <c r="G84" s="23" t="s">
        <v>32</v>
      </c>
      <c r="H84" s="23" t="s">
        <v>32</v>
      </c>
      <c r="I84" s="23" t="s">
        <v>32</v>
      </c>
      <c r="J84" s="23" t="s">
        <v>59</v>
      </c>
      <c r="K84" s="22" t="s">
        <v>702</v>
      </c>
      <c r="L84" s="22" t="s">
        <v>98</v>
      </c>
      <c r="M84" s="22" t="s">
        <v>32</v>
      </c>
      <c r="N84" s="22" t="s">
        <v>32</v>
      </c>
      <c r="O84" s="23" t="s">
        <v>701</v>
      </c>
      <c r="P84" s="23" t="s">
        <v>534</v>
      </c>
      <c r="Q84" s="22" t="s">
        <v>32</v>
      </c>
      <c r="R84" s="22" t="s">
        <v>32</v>
      </c>
      <c r="S84" s="22" t="s">
        <v>32</v>
      </c>
      <c r="T84" s="23" t="s">
        <v>98</v>
      </c>
      <c r="U84" s="22" t="s">
        <v>32</v>
      </c>
      <c r="V84" s="22" t="s">
        <v>226</v>
      </c>
      <c r="W84" s="23" t="s">
        <v>32</v>
      </c>
      <c r="X84" s="22" t="s">
        <v>42</v>
      </c>
      <c r="Y84" s="22" t="s">
        <v>32</v>
      </c>
      <c r="Z84" s="22">
        <v>1.6</v>
      </c>
      <c r="AA84" s="22" t="s">
        <v>703</v>
      </c>
      <c r="AB84" s="1" t="s">
        <v>704</v>
      </c>
      <c r="AC84" s="1" t="s">
        <v>705</v>
      </c>
      <c r="AD84" s="1" t="s">
        <v>706</v>
      </c>
      <c r="AE84" s="1" t="s">
        <v>707</v>
      </c>
      <c r="AF84" s="1" t="s">
        <v>708</v>
      </c>
      <c r="AG84" s="1" t="s">
        <v>32</v>
      </c>
      <c r="AH84" s="1" t="s">
        <v>523</v>
      </c>
      <c r="AI84" s="1" t="s">
        <v>524</v>
      </c>
      <c r="AJ84" s="1" t="s">
        <v>709</v>
      </c>
      <c r="AK84" s="1" t="s">
        <v>74</v>
      </c>
      <c r="AL84" s="1">
        <v>-273</v>
      </c>
      <c r="AM84" s="1" t="s">
        <v>710</v>
      </c>
      <c r="AN84" s="1" t="s">
        <v>711</v>
      </c>
      <c r="AO84" s="1" t="s">
        <v>528</v>
      </c>
      <c r="AP84" s="1" t="s">
        <v>78</v>
      </c>
      <c r="AQ84" s="1" t="s">
        <v>78</v>
      </c>
      <c r="AR84" s="1" t="s">
        <v>113</v>
      </c>
      <c r="AS84" s="1" t="s">
        <v>78</v>
      </c>
      <c r="AT84" s="1" t="s">
        <v>57</v>
      </c>
      <c r="AU84" s="1"/>
    </row>
    <row r="85" spans="1:47" ht="18" customHeight="1" x14ac:dyDescent="0.2">
      <c r="A85" s="13">
        <f t="shared" si="1"/>
        <v>82</v>
      </c>
      <c r="B85" s="16" t="s">
        <v>1301</v>
      </c>
      <c r="C85" s="1" t="s">
        <v>1351</v>
      </c>
      <c r="D85" s="22" t="s">
        <v>512</v>
      </c>
      <c r="E85" s="22" t="s">
        <v>32</v>
      </c>
      <c r="F85" s="22" t="s">
        <v>700</v>
      </c>
      <c r="G85" s="23" t="s">
        <v>32</v>
      </c>
      <c r="H85" s="23" t="s">
        <v>32</v>
      </c>
      <c r="I85" s="23" t="s">
        <v>32</v>
      </c>
      <c r="J85" s="23" t="s">
        <v>59</v>
      </c>
      <c r="K85" s="22" t="s">
        <v>702</v>
      </c>
      <c r="L85" s="22" t="s">
        <v>98</v>
      </c>
      <c r="M85" s="22" t="s">
        <v>32</v>
      </c>
      <c r="N85" s="22" t="s">
        <v>32</v>
      </c>
      <c r="O85" s="23" t="s">
        <v>701</v>
      </c>
      <c r="P85" s="23" t="s">
        <v>534</v>
      </c>
      <c r="Q85" s="22" t="s">
        <v>32</v>
      </c>
      <c r="R85" s="22" t="s">
        <v>32</v>
      </c>
      <c r="S85" s="22" t="s">
        <v>32</v>
      </c>
      <c r="T85" s="23" t="s">
        <v>98</v>
      </c>
      <c r="U85" s="22" t="s">
        <v>32</v>
      </c>
      <c r="V85" s="22" t="s">
        <v>226</v>
      </c>
      <c r="W85" s="23" t="s">
        <v>32</v>
      </c>
      <c r="X85" s="22" t="s">
        <v>42</v>
      </c>
      <c r="Y85" s="22" t="s">
        <v>32</v>
      </c>
      <c r="Z85" s="22">
        <v>1.6</v>
      </c>
      <c r="AA85" s="22" t="s">
        <v>703</v>
      </c>
      <c r="AB85" s="1" t="s">
        <v>712</v>
      </c>
      <c r="AC85" s="1" t="s">
        <v>713</v>
      </c>
      <c r="AD85" s="1" t="s">
        <v>714</v>
      </c>
      <c r="AE85" s="1" t="s">
        <v>715</v>
      </c>
      <c r="AF85" s="1" t="s">
        <v>716</v>
      </c>
      <c r="AG85" s="1" t="s">
        <v>32</v>
      </c>
      <c r="AH85" s="1">
        <v>124</v>
      </c>
      <c r="AI85" s="1" t="s">
        <v>524</v>
      </c>
      <c r="AJ85" s="1" t="s">
        <v>709</v>
      </c>
      <c r="AK85" s="1" t="s">
        <v>74</v>
      </c>
      <c r="AL85" s="1">
        <v>-273</v>
      </c>
      <c r="AM85" s="1" t="s">
        <v>717</v>
      </c>
      <c r="AN85" s="1" t="s">
        <v>711</v>
      </c>
      <c r="AO85" s="1" t="s">
        <v>528</v>
      </c>
      <c r="AP85" s="1" t="s">
        <v>78</v>
      </c>
      <c r="AQ85" s="1" t="s">
        <v>78</v>
      </c>
      <c r="AR85" s="1" t="s">
        <v>113</v>
      </c>
      <c r="AS85" s="1" t="s">
        <v>78</v>
      </c>
      <c r="AT85" s="1" t="s">
        <v>57</v>
      </c>
      <c r="AU85" s="1"/>
    </row>
    <row r="86" spans="1:47" s="52" customFormat="1" ht="18" customHeight="1" x14ac:dyDescent="0.2">
      <c r="A86" s="48">
        <f t="shared" si="1"/>
        <v>83</v>
      </c>
      <c r="B86" s="49" t="s">
        <v>1301</v>
      </c>
      <c r="C86" s="50" t="s">
        <v>1352</v>
      </c>
      <c r="D86" s="50" t="s">
        <v>718</v>
      </c>
      <c r="E86" s="50" t="s">
        <v>32</v>
      </c>
      <c r="F86" s="50" t="s">
        <v>723</v>
      </c>
      <c r="G86" s="51" t="s">
        <v>32</v>
      </c>
      <c r="H86" s="51" t="s">
        <v>32</v>
      </c>
      <c r="I86" s="51" t="s">
        <v>32</v>
      </c>
      <c r="J86" s="51" t="s">
        <v>39</v>
      </c>
      <c r="K86" s="50" t="s">
        <v>719</v>
      </c>
      <c r="L86" s="50" t="s">
        <v>719</v>
      </c>
      <c r="M86" s="50" t="s">
        <v>32</v>
      </c>
      <c r="N86" s="50" t="s">
        <v>721</v>
      </c>
      <c r="O86" s="51" t="s">
        <v>42</v>
      </c>
      <c r="P86" s="51" t="s">
        <v>736</v>
      </c>
      <c r="Q86" s="50" t="s">
        <v>32</v>
      </c>
      <c r="R86" s="50" t="s">
        <v>32</v>
      </c>
      <c r="S86" s="50" t="s">
        <v>32</v>
      </c>
      <c r="T86" s="51" t="s">
        <v>59</v>
      </c>
      <c r="U86" s="50" t="s">
        <v>32</v>
      </c>
      <c r="V86" s="50" t="s">
        <v>226</v>
      </c>
      <c r="W86" s="51" t="s">
        <v>32</v>
      </c>
      <c r="X86" s="50" t="s">
        <v>59</v>
      </c>
      <c r="Y86" s="50" t="s">
        <v>722</v>
      </c>
      <c r="Z86" s="50">
        <v>0.41</v>
      </c>
      <c r="AA86" s="50" t="s">
        <v>724</v>
      </c>
      <c r="AB86" s="50" t="s">
        <v>725</v>
      </c>
      <c r="AC86" s="50" t="s">
        <v>726</v>
      </c>
      <c r="AD86" s="50" t="s">
        <v>727</v>
      </c>
      <c r="AE86" s="50" t="s">
        <v>728</v>
      </c>
      <c r="AF86" s="50" t="s">
        <v>729</v>
      </c>
      <c r="AG86" s="50" t="s">
        <v>32</v>
      </c>
      <c r="AH86" s="50" t="s">
        <v>730</v>
      </c>
      <c r="AI86" s="50" t="s">
        <v>731</v>
      </c>
      <c r="AJ86" s="50" t="s">
        <v>732</v>
      </c>
      <c r="AK86" s="50" t="s">
        <v>74</v>
      </c>
      <c r="AL86" s="50">
        <v>-273</v>
      </c>
      <c r="AM86" s="50" t="s">
        <v>733</v>
      </c>
      <c r="AN86" s="50" t="s">
        <v>734</v>
      </c>
      <c r="AO86" s="50" t="s">
        <v>437</v>
      </c>
      <c r="AP86" s="50" t="s">
        <v>78</v>
      </c>
      <c r="AQ86" s="50" t="s">
        <v>78</v>
      </c>
      <c r="AR86" s="50" t="s">
        <v>113</v>
      </c>
      <c r="AS86" s="50" t="s">
        <v>78</v>
      </c>
      <c r="AT86" s="50" t="s">
        <v>57</v>
      </c>
      <c r="AU86" s="50"/>
    </row>
    <row r="87" spans="1:47" ht="18" customHeight="1" x14ac:dyDescent="0.2">
      <c r="A87" s="13">
        <f t="shared" si="1"/>
        <v>84</v>
      </c>
      <c r="C87" s="1" t="s">
        <v>735</v>
      </c>
      <c r="D87" s="22" t="s">
        <v>673</v>
      </c>
      <c r="E87" s="22" t="s">
        <v>32</v>
      </c>
      <c r="F87" s="22" t="s">
        <v>737</v>
      </c>
      <c r="G87" s="23" t="s">
        <v>32</v>
      </c>
      <c r="H87" s="23" t="s">
        <v>32</v>
      </c>
      <c r="I87" s="23" t="s">
        <v>32</v>
      </c>
      <c r="J87" s="23" t="s">
        <v>59</v>
      </c>
      <c r="K87" s="22" t="s">
        <v>613</v>
      </c>
      <c r="L87" s="22" t="s">
        <v>273</v>
      </c>
      <c r="M87" s="22" t="s">
        <v>32</v>
      </c>
      <c r="N87" s="22" t="s">
        <v>32</v>
      </c>
      <c r="O87" s="23" t="s">
        <v>612</v>
      </c>
      <c r="P87" s="23" t="s">
        <v>610</v>
      </c>
      <c r="Q87" s="22" t="s">
        <v>32</v>
      </c>
      <c r="R87" s="22" t="s">
        <v>32</v>
      </c>
      <c r="S87" s="22" t="s">
        <v>32</v>
      </c>
      <c r="T87" s="23" t="s">
        <v>167</v>
      </c>
      <c r="U87" s="22" t="s">
        <v>32</v>
      </c>
      <c r="V87" s="22" t="s">
        <v>226</v>
      </c>
      <c r="W87" s="23" t="s">
        <v>32</v>
      </c>
      <c r="X87" s="22" t="s">
        <v>42</v>
      </c>
      <c r="Y87" s="22" t="s">
        <v>32</v>
      </c>
      <c r="Z87" s="22">
        <v>3</v>
      </c>
      <c r="AA87" s="22" t="s">
        <v>622</v>
      </c>
      <c r="AB87" s="1" t="s">
        <v>240</v>
      </c>
      <c r="AC87" s="1" t="s">
        <v>738</v>
      </c>
      <c r="AD87" s="1" t="s">
        <v>752</v>
      </c>
      <c r="AE87" s="1" t="s">
        <v>739</v>
      </c>
      <c r="AF87" s="1" t="s">
        <v>740</v>
      </c>
      <c r="AG87" s="1" t="s">
        <v>32</v>
      </c>
      <c r="AH87" s="1" t="s">
        <v>741</v>
      </c>
      <c r="AI87" s="1" t="s">
        <v>742</v>
      </c>
      <c r="AJ87" s="1" t="s">
        <v>743</v>
      </c>
      <c r="AK87" s="1" t="s">
        <v>74</v>
      </c>
      <c r="AL87" s="1">
        <v>-273</v>
      </c>
      <c r="AM87" s="1" t="s">
        <v>733</v>
      </c>
      <c r="AN87" s="1" t="s">
        <v>744</v>
      </c>
      <c r="AO87" s="1" t="s">
        <v>181</v>
      </c>
      <c r="AP87" s="1" t="s">
        <v>78</v>
      </c>
      <c r="AQ87" s="1" t="s">
        <v>78</v>
      </c>
      <c r="AR87" s="1" t="s">
        <v>113</v>
      </c>
      <c r="AS87" s="1" t="s">
        <v>78</v>
      </c>
      <c r="AT87" s="1" t="s">
        <v>57</v>
      </c>
      <c r="AU87" s="1"/>
    </row>
    <row r="88" spans="1:47" ht="18" customHeight="1" x14ac:dyDescent="0.2">
      <c r="A88" s="13">
        <f t="shared" si="1"/>
        <v>85</v>
      </c>
      <c r="B88" s="16" t="s">
        <v>1302</v>
      </c>
      <c r="C88" s="1" t="s">
        <v>1375</v>
      </c>
      <c r="D88" s="22" t="s">
        <v>529</v>
      </c>
      <c r="E88" s="22" t="s">
        <v>32</v>
      </c>
      <c r="F88" s="22" t="s">
        <v>745</v>
      </c>
      <c r="G88" s="23" t="s">
        <v>32</v>
      </c>
      <c r="H88" s="23" t="s">
        <v>32</v>
      </c>
      <c r="I88" s="23" t="s">
        <v>32</v>
      </c>
      <c r="J88" s="23" t="s">
        <v>32</v>
      </c>
      <c r="K88" s="22" t="s">
        <v>747</v>
      </c>
      <c r="L88" s="22" t="s">
        <v>273</v>
      </c>
      <c r="M88" s="22" t="s">
        <v>32</v>
      </c>
      <c r="N88" s="22" t="s">
        <v>749</v>
      </c>
      <c r="O88" s="23" t="s">
        <v>488</v>
      </c>
      <c r="P88" s="23" t="s">
        <v>60</v>
      </c>
      <c r="Q88" s="22" t="s">
        <v>32</v>
      </c>
      <c r="R88" s="22" t="s">
        <v>32</v>
      </c>
      <c r="S88" s="22" t="s">
        <v>32</v>
      </c>
      <c r="T88" s="23" t="s">
        <v>167</v>
      </c>
      <c r="U88" s="22" t="s">
        <v>32</v>
      </c>
      <c r="V88" s="22" t="s">
        <v>746</v>
      </c>
      <c r="W88" s="23" t="s">
        <v>748</v>
      </c>
      <c r="X88" s="22" t="s">
        <v>59</v>
      </c>
      <c r="Y88" s="22" t="s">
        <v>32</v>
      </c>
      <c r="Z88" s="22">
        <v>0.75</v>
      </c>
      <c r="AA88" s="22" t="s">
        <v>750</v>
      </c>
      <c r="AB88" s="1" t="s">
        <v>240</v>
      </c>
      <c r="AC88" s="1" t="s">
        <v>751</v>
      </c>
      <c r="AD88" s="1" t="s">
        <v>753</v>
      </c>
      <c r="AE88" s="1" t="s">
        <v>754</v>
      </c>
      <c r="AF88" s="1" t="s">
        <v>755</v>
      </c>
      <c r="AG88" s="1" t="s">
        <v>32</v>
      </c>
      <c r="AH88" s="1" t="s">
        <v>756</v>
      </c>
      <c r="AI88" s="1" t="s">
        <v>757</v>
      </c>
      <c r="AJ88" s="1" t="s">
        <v>758</v>
      </c>
      <c r="AK88" s="1" t="s">
        <v>74</v>
      </c>
      <c r="AL88" s="1">
        <v>-273</v>
      </c>
      <c r="AM88" s="1" t="s">
        <v>759</v>
      </c>
      <c r="AN88" s="1" t="s">
        <v>581</v>
      </c>
      <c r="AO88" s="1" t="s">
        <v>181</v>
      </c>
      <c r="AP88" s="1" t="s">
        <v>113</v>
      </c>
      <c r="AQ88" s="1" t="s">
        <v>78</v>
      </c>
      <c r="AR88" s="1" t="s">
        <v>113</v>
      </c>
      <c r="AS88" s="1" t="s">
        <v>78</v>
      </c>
      <c r="AT88" s="1" t="s">
        <v>57</v>
      </c>
      <c r="AU88" s="1"/>
    </row>
    <row r="89" spans="1:47" ht="18" customHeight="1" x14ac:dyDescent="0.2">
      <c r="B89" s="16" t="s">
        <v>1302</v>
      </c>
      <c r="C89" s="1" t="s">
        <v>1375</v>
      </c>
      <c r="D89" s="22" t="s">
        <v>669</v>
      </c>
      <c r="E89" s="22" t="s">
        <v>32</v>
      </c>
      <c r="F89" s="22" t="s">
        <v>745</v>
      </c>
      <c r="G89" s="23" t="s">
        <v>32</v>
      </c>
      <c r="H89" s="23" t="s">
        <v>32</v>
      </c>
      <c r="I89" s="23" t="s">
        <v>32</v>
      </c>
      <c r="J89" s="23" t="s">
        <v>32</v>
      </c>
      <c r="K89" s="22" t="s">
        <v>747</v>
      </c>
      <c r="L89" s="22" t="s">
        <v>273</v>
      </c>
      <c r="M89" s="22" t="s">
        <v>32</v>
      </c>
      <c r="N89" s="22" t="s">
        <v>749</v>
      </c>
      <c r="O89" s="23" t="s">
        <v>488</v>
      </c>
      <c r="P89" s="23" t="s">
        <v>60</v>
      </c>
      <c r="Q89" s="22" t="s">
        <v>32</v>
      </c>
      <c r="R89" s="22" t="s">
        <v>32</v>
      </c>
      <c r="S89" s="22" t="s">
        <v>32</v>
      </c>
      <c r="T89" s="23" t="s">
        <v>167</v>
      </c>
      <c r="U89" s="22" t="s">
        <v>32</v>
      </c>
      <c r="V89" s="22" t="s">
        <v>746</v>
      </c>
      <c r="W89" s="23" t="s">
        <v>748</v>
      </c>
      <c r="X89" s="22" t="s">
        <v>59</v>
      </c>
      <c r="Y89" s="22" t="s">
        <v>32</v>
      </c>
      <c r="Z89" s="22">
        <v>0.75</v>
      </c>
      <c r="AA89" s="22" t="s">
        <v>750</v>
      </c>
      <c r="AB89" s="1" t="s">
        <v>240</v>
      </c>
      <c r="AC89" s="1" t="s">
        <v>663</v>
      </c>
      <c r="AD89" s="1" t="s">
        <v>760</v>
      </c>
      <c r="AE89" s="1" t="s">
        <v>754</v>
      </c>
      <c r="AF89" s="1" t="s">
        <v>755</v>
      </c>
      <c r="AG89" s="1" t="s">
        <v>32</v>
      </c>
      <c r="AH89" s="1" t="s">
        <v>756</v>
      </c>
      <c r="AI89" s="1" t="s">
        <v>757</v>
      </c>
      <c r="AJ89" s="1" t="s">
        <v>758</v>
      </c>
      <c r="AK89" s="1" t="s">
        <v>53</v>
      </c>
      <c r="AL89" s="1">
        <v>-273</v>
      </c>
      <c r="AM89" s="1" t="s">
        <v>75</v>
      </c>
      <c r="AN89" s="1" t="s">
        <v>581</v>
      </c>
      <c r="AO89" s="1" t="s">
        <v>181</v>
      </c>
      <c r="AP89" s="1" t="s">
        <v>113</v>
      </c>
      <c r="AQ89" s="1" t="s">
        <v>78</v>
      </c>
      <c r="AR89" s="1" t="s">
        <v>113</v>
      </c>
      <c r="AS89" s="1" t="s">
        <v>78</v>
      </c>
      <c r="AT89" s="1" t="s">
        <v>57</v>
      </c>
      <c r="AU89" s="1"/>
    </row>
    <row r="90" spans="1:47" ht="18" customHeight="1" x14ac:dyDescent="0.2">
      <c r="B90" s="16" t="s">
        <v>1302</v>
      </c>
      <c r="C90" s="1" t="s">
        <v>1375</v>
      </c>
      <c r="D90" s="22" t="s">
        <v>673</v>
      </c>
      <c r="E90" s="22" t="s">
        <v>32</v>
      </c>
      <c r="F90" s="22" t="s">
        <v>745</v>
      </c>
      <c r="G90" s="23" t="s">
        <v>32</v>
      </c>
      <c r="H90" s="23" t="s">
        <v>32</v>
      </c>
      <c r="I90" s="23" t="s">
        <v>32</v>
      </c>
      <c r="J90" s="23" t="s">
        <v>32</v>
      </c>
      <c r="K90" s="22" t="s">
        <v>747</v>
      </c>
      <c r="L90" s="22" t="s">
        <v>273</v>
      </c>
      <c r="M90" s="22" t="s">
        <v>32</v>
      </c>
      <c r="N90" s="22" t="s">
        <v>749</v>
      </c>
      <c r="O90" s="23" t="s">
        <v>488</v>
      </c>
      <c r="P90" s="23" t="s">
        <v>60</v>
      </c>
      <c r="Q90" s="22" t="s">
        <v>32</v>
      </c>
      <c r="R90" s="22" t="s">
        <v>32</v>
      </c>
      <c r="S90" s="22" t="s">
        <v>32</v>
      </c>
      <c r="T90" s="23" t="s">
        <v>167</v>
      </c>
      <c r="U90" s="22" t="s">
        <v>32</v>
      </c>
      <c r="V90" s="22" t="s">
        <v>746</v>
      </c>
      <c r="W90" s="23" t="s">
        <v>748</v>
      </c>
      <c r="X90" s="22" t="s">
        <v>59</v>
      </c>
      <c r="Y90" s="22" t="s">
        <v>32</v>
      </c>
      <c r="Z90" s="22">
        <v>0.75</v>
      </c>
      <c r="AA90" s="22" t="s">
        <v>750</v>
      </c>
      <c r="AB90" s="1" t="s">
        <v>240</v>
      </c>
      <c r="AC90" s="1" t="s">
        <v>761</v>
      </c>
      <c r="AD90" s="1" t="s">
        <v>762</v>
      </c>
      <c r="AE90" s="1" t="s">
        <v>766</v>
      </c>
      <c r="AF90" s="1" t="s">
        <v>755</v>
      </c>
      <c r="AG90" s="1" t="s">
        <v>32</v>
      </c>
      <c r="AH90" s="1" t="s">
        <v>756</v>
      </c>
      <c r="AI90" s="1" t="s">
        <v>763</v>
      </c>
      <c r="AJ90" s="1" t="s">
        <v>758</v>
      </c>
      <c r="AK90" s="1" t="s">
        <v>53</v>
      </c>
      <c r="AL90" s="1">
        <v>-273</v>
      </c>
      <c r="AM90" s="1" t="s">
        <v>75</v>
      </c>
      <c r="AN90" s="1" t="s">
        <v>581</v>
      </c>
      <c r="AO90" s="1" t="s">
        <v>181</v>
      </c>
      <c r="AP90" s="1" t="s">
        <v>113</v>
      </c>
      <c r="AQ90" s="1" t="s">
        <v>78</v>
      </c>
      <c r="AR90" s="1" t="s">
        <v>113</v>
      </c>
      <c r="AS90" s="1" t="s">
        <v>78</v>
      </c>
      <c r="AT90" s="1" t="s">
        <v>57</v>
      </c>
      <c r="AU90" s="1"/>
    </row>
    <row r="91" spans="1:47" ht="18" customHeight="1" x14ac:dyDescent="0.2">
      <c r="B91" s="16" t="s">
        <v>1302</v>
      </c>
      <c r="C91" s="1" t="s">
        <v>1375</v>
      </c>
      <c r="D91" s="22" t="s">
        <v>764</v>
      </c>
      <c r="E91" s="22" t="s">
        <v>32</v>
      </c>
      <c r="F91" s="22" t="s">
        <v>745</v>
      </c>
      <c r="G91" s="23" t="s">
        <v>32</v>
      </c>
      <c r="H91" s="23" t="s">
        <v>32</v>
      </c>
      <c r="I91" s="23" t="s">
        <v>32</v>
      </c>
      <c r="J91" s="23" t="s">
        <v>32</v>
      </c>
      <c r="K91" s="22" t="s">
        <v>747</v>
      </c>
      <c r="L91" s="22" t="s">
        <v>273</v>
      </c>
      <c r="M91" s="22" t="s">
        <v>32</v>
      </c>
      <c r="N91" s="22" t="s">
        <v>749</v>
      </c>
      <c r="O91" s="23" t="s">
        <v>488</v>
      </c>
      <c r="P91" s="23" t="s">
        <v>60</v>
      </c>
      <c r="Q91" s="22" t="s">
        <v>32</v>
      </c>
      <c r="R91" s="22" t="s">
        <v>32</v>
      </c>
      <c r="S91" s="22" t="s">
        <v>32</v>
      </c>
      <c r="T91" s="23" t="s">
        <v>167</v>
      </c>
      <c r="U91" s="22" t="s">
        <v>32</v>
      </c>
      <c r="V91" s="22" t="s">
        <v>746</v>
      </c>
      <c r="W91" s="23" t="s">
        <v>748</v>
      </c>
      <c r="X91" s="22" t="s">
        <v>59</v>
      </c>
      <c r="Y91" s="22" t="s">
        <v>32</v>
      </c>
      <c r="Z91" s="22">
        <v>0.75</v>
      </c>
      <c r="AA91" s="22" t="s">
        <v>750</v>
      </c>
      <c r="AB91" s="1" t="s">
        <v>240</v>
      </c>
      <c r="AC91" s="1" t="s">
        <v>765</v>
      </c>
      <c r="AD91" s="1" t="s">
        <v>68</v>
      </c>
      <c r="AE91" s="1" t="s">
        <v>766</v>
      </c>
      <c r="AF91" s="1" t="s">
        <v>755</v>
      </c>
      <c r="AG91" s="1" t="s">
        <v>32</v>
      </c>
      <c r="AH91" s="1" t="s">
        <v>756</v>
      </c>
      <c r="AI91" s="1" t="s">
        <v>767</v>
      </c>
      <c r="AJ91" s="1" t="s">
        <v>758</v>
      </c>
      <c r="AK91" s="1" t="s">
        <v>53</v>
      </c>
      <c r="AL91" s="1">
        <v>-273</v>
      </c>
      <c r="AM91" s="1" t="s">
        <v>75</v>
      </c>
      <c r="AN91" s="1" t="s">
        <v>581</v>
      </c>
      <c r="AO91" s="1" t="s">
        <v>181</v>
      </c>
      <c r="AP91" s="1" t="s">
        <v>113</v>
      </c>
      <c r="AQ91" s="1" t="s">
        <v>78</v>
      </c>
      <c r="AR91" s="1" t="s">
        <v>113</v>
      </c>
      <c r="AS91" s="1" t="s">
        <v>78</v>
      </c>
      <c r="AT91" s="1" t="s">
        <v>57</v>
      </c>
      <c r="AU91" s="1"/>
    </row>
    <row r="92" spans="1:47" ht="18" customHeight="1" x14ac:dyDescent="0.2">
      <c r="B92" s="16" t="s">
        <v>1302</v>
      </c>
      <c r="C92" s="1" t="s">
        <v>1375</v>
      </c>
      <c r="D92" s="22" t="s">
        <v>768</v>
      </c>
      <c r="E92" s="22" t="s">
        <v>32</v>
      </c>
      <c r="F92" s="22" t="s">
        <v>745</v>
      </c>
      <c r="G92" s="23" t="s">
        <v>32</v>
      </c>
      <c r="H92" s="23" t="s">
        <v>32</v>
      </c>
      <c r="I92" s="23" t="s">
        <v>32</v>
      </c>
      <c r="J92" s="23" t="s">
        <v>32</v>
      </c>
      <c r="K92" s="22" t="s">
        <v>747</v>
      </c>
      <c r="L92" s="22" t="s">
        <v>273</v>
      </c>
      <c r="M92" s="22" t="s">
        <v>32</v>
      </c>
      <c r="N92" s="22" t="s">
        <v>749</v>
      </c>
      <c r="O92" s="23" t="s">
        <v>488</v>
      </c>
      <c r="P92" s="23" t="s">
        <v>60</v>
      </c>
      <c r="Q92" s="22" t="s">
        <v>32</v>
      </c>
      <c r="R92" s="22" t="s">
        <v>32</v>
      </c>
      <c r="S92" s="22" t="s">
        <v>32</v>
      </c>
      <c r="T92" s="23" t="s">
        <v>167</v>
      </c>
      <c r="U92" s="22" t="s">
        <v>32</v>
      </c>
      <c r="V92" s="22" t="s">
        <v>746</v>
      </c>
      <c r="W92" s="23" t="s">
        <v>748</v>
      </c>
      <c r="X92" s="22" t="s">
        <v>59</v>
      </c>
      <c r="Y92" s="22" t="s">
        <v>32</v>
      </c>
      <c r="Z92" s="22">
        <v>0.75</v>
      </c>
      <c r="AA92" s="22" t="s">
        <v>750</v>
      </c>
      <c r="AB92" s="1" t="s">
        <v>362</v>
      </c>
      <c r="AC92" s="1" t="s">
        <v>769</v>
      </c>
      <c r="AD92" s="1" t="s">
        <v>770</v>
      </c>
      <c r="AE92" s="1" t="s">
        <v>771</v>
      </c>
      <c r="AF92" s="1" t="s">
        <v>772</v>
      </c>
      <c r="AG92" s="1" t="s">
        <v>32</v>
      </c>
      <c r="AH92" s="1" t="s">
        <v>756</v>
      </c>
      <c r="AI92" s="1" t="s">
        <v>773</v>
      </c>
      <c r="AJ92" s="1" t="s">
        <v>758</v>
      </c>
      <c r="AK92" s="1" t="s">
        <v>53</v>
      </c>
      <c r="AL92" s="1">
        <v>-273</v>
      </c>
      <c r="AM92" s="1" t="s">
        <v>75</v>
      </c>
      <c r="AN92" s="1" t="s">
        <v>581</v>
      </c>
      <c r="AO92" s="1" t="s">
        <v>181</v>
      </c>
      <c r="AP92" s="1" t="s">
        <v>113</v>
      </c>
      <c r="AQ92" s="1" t="s">
        <v>78</v>
      </c>
      <c r="AR92" s="1" t="s">
        <v>113</v>
      </c>
      <c r="AS92" s="1" t="s">
        <v>78</v>
      </c>
      <c r="AT92" s="1" t="s">
        <v>57</v>
      </c>
      <c r="AU92" s="1"/>
    </row>
    <row r="93" spans="1:47" ht="18" customHeight="1" x14ac:dyDescent="0.2">
      <c r="B93" s="16" t="s">
        <v>1302</v>
      </c>
      <c r="C93" s="1" t="s">
        <v>1375</v>
      </c>
      <c r="D93" s="22" t="s">
        <v>774</v>
      </c>
      <c r="E93" s="22" t="s">
        <v>32</v>
      </c>
      <c r="F93" s="22" t="s">
        <v>745</v>
      </c>
      <c r="G93" s="23" t="s">
        <v>32</v>
      </c>
      <c r="H93" s="23" t="s">
        <v>32</v>
      </c>
      <c r="I93" s="23" t="s">
        <v>32</v>
      </c>
      <c r="J93" s="23" t="s">
        <v>32</v>
      </c>
      <c r="K93" s="22" t="s">
        <v>747</v>
      </c>
      <c r="L93" s="22" t="s">
        <v>273</v>
      </c>
      <c r="M93" s="22" t="s">
        <v>32</v>
      </c>
      <c r="N93" s="22" t="s">
        <v>749</v>
      </c>
      <c r="O93" s="23" t="s">
        <v>488</v>
      </c>
      <c r="P93" s="23" t="s">
        <v>60</v>
      </c>
      <c r="Q93" s="22" t="s">
        <v>32</v>
      </c>
      <c r="R93" s="22" t="s">
        <v>32</v>
      </c>
      <c r="S93" s="22" t="s">
        <v>32</v>
      </c>
      <c r="T93" s="23" t="s">
        <v>167</v>
      </c>
      <c r="U93" s="22" t="s">
        <v>32</v>
      </c>
      <c r="V93" s="22" t="s">
        <v>746</v>
      </c>
      <c r="W93" s="23" t="s">
        <v>748</v>
      </c>
      <c r="X93" s="22" t="s">
        <v>59</v>
      </c>
      <c r="Y93" s="22" t="s">
        <v>32</v>
      </c>
      <c r="Z93" s="22">
        <v>0.75</v>
      </c>
      <c r="AA93" s="22" t="s">
        <v>750</v>
      </c>
      <c r="AB93" s="1" t="s">
        <v>240</v>
      </c>
      <c r="AC93" s="1" t="s">
        <v>67</v>
      </c>
      <c r="AD93" s="1" t="s">
        <v>775</v>
      </c>
      <c r="AE93" s="1" t="s">
        <v>776</v>
      </c>
      <c r="AF93" s="1" t="s">
        <v>755</v>
      </c>
      <c r="AG93" s="1" t="s">
        <v>32</v>
      </c>
      <c r="AH93" s="1" t="s">
        <v>756</v>
      </c>
      <c r="AI93" s="1" t="s">
        <v>777</v>
      </c>
      <c r="AJ93" s="1" t="s">
        <v>758</v>
      </c>
      <c r="AK93" s="1" t="s">
        <v>53</v>
      </c>
      <c r="AL93" s="1">
        <v>-273</v>
      </c>
      <c r="AM93" s="1" t="s">
        <v>75</v>
      </c>
      <c r="AN93" s="1" t="s">
        <v>581</v>
      </c>
      <c r="AO93" s="1" t="s">
        <v>181</v>
      </c>
      <c r="AP93" s="1" t="s">
        <v>113</v>
      </c>
      <c r="AQ93" s="1" t="s">
        <v>78</v>
      </c>
      <c r="AR93" s="1" t="s">
        <v>113</v>
      </c>
      <c r="AS93" s="1" t="s">
        <v>78</v>
      </c>
      <c r="AT93" s="1" t="s">
        <v>57</v>
      </c>
      <c r="AU93" s="1"/>
    </row>
    <row r="94" spans="1:47" ht="18" customHeight="1" x14ac:dyDescent="0.2">
      <c r="B94" s="16" t="s">
        <v>1303</v>
      </c>
      <c r="C94" s="1" t="s">
        <v>1376</v>
      </c>
      <c r="D94" s="22" t="s">
        <v>632</v>
      </c>
      <c r="E94" s="22" t="s">
        <v>32</v>
      </c>
      <c r="F94" s="22" t="s">
        <v>778</v>
      </c>
      <c r="G94" s="23" t="s">
        <v>32</v>
      </c>
      <c r="H94" s="23" t="s">
        <v>32</v>
      </c>
      <c r="I94" s="23" t="s">
        <v>32</v>
      </c>
      <c r="J94" s="23" t="s">
        <v>59</v>
      </c>
      <c r="K94" s="22" t="s">
        <v>779</v>
      </c>
      <c r="L94" s="22" t="s">
        <v>226</v>
      </c>
      <c r="M94" s="22" t="s">
        <v>32</v>
      </c>
      <c r="N94" s="22" t="s">
        <v>32</v>
      </c>
      <c r="O94" s="23" t="s">
        <v>612</v>
      </c>
      <c r="P94" s="23" t="s">
        <v>610</v>
      </c>
      <c r="Q94" s="22" t="s">
        <v>32</v>
      </c>
      <c r="R94" s="22" t="s">
        <v>32</v>
      </c>
      <c r="S94" s="22" t="s">
        <v>32</v>
      </c>
      <c r="T94" s="23" t="s">
        <v>719</v>
      </c>
      <c r="U94" s="22" t="s">
        <v>32</v>
      </c>
      <c r="V94" s="22" t="s">
        <v>226</v>
      </c>
      <c r="W94" s="23" t="s">
        <v>32</v>
      </c>
      <c r="X94" s="22" t="s">
        <v>42</v>
      </c>
      <c r="Y94" s="22" t="s">
        <v>32</v>
      </c>
      <c r="Z94" s="22">
        <v>4</v>
      </c>
      <c r="AA94" s="22" t="s">
        <v>126</v>
      </c>
      <c r="AB94" s="1" t="s">
        <v>780</v>
      </c>
      <c r="AC94" s="1" t="s">
        <v>781</v>
      </c>
      <c r="AD94" s="1" t="s">
        <v>782</v>
      </c>
      <c r="AE94" s="1" t="s">
        <v>783</v>
      </c>
      <c r="AF94" s="1" t="s">
        <v>784</v>
      </c>
      <c r="AG94" s="1" t="s">
        <v>32</v>
      </c>
      <c r="AH94" s="1" t="s">
        <v>600</v>
      </c>
      <c r="AI94" s="1" t="s">
        <v>785</v>
      </c>
      <c r="AJ94" s="1" t="s">
        <v>786</v>
      </c>
      <c r="AK94" s="1" t="s">
        <v>53</v>
      </c>
      <c r="AL94" s="1">
        <v>-273</v>
      </c>
      <c r="AM94" s="1" t="s">
        <v>787</v>
      </c>
      <c r="AN94" s="1" t="s">
        <v>788</v>
      </c>
      <c r="AO94" s="1" t="s">
        <v>699</v>
      </c>
      <c r="AP94" s="1" t="s">
        <v>78</v>
      </c>
      <c r="AQ94" s="1" t="s">
        <v>78</v>
      </c>
      <c r="AR94" s="1" t="s">
        <v>113</v>
      </c>
      <c r="AS94" s="1" t="s">
        <v>78</v>
      </c>
      <c r="AT94" s="1" t="s">
        <v>57</v>
      </c>
      <c r="AU94" s="1"/>
    </row>
    <row r="95" spans="1:47" ht="18" customHeight="1" x14ac:dyDescent="0.2">
      <c r="B95" s="16" t="s">
        <v>1304</v>
      </c>
      <c r="C95" s="1" t="s">
        <v>1377</v>
      </c>
      <c r="D95" s="22" t="s">
        <v>774</v>
      </c>
      <c r="E95" s="22" t="s">
        <v>32</v>
      </c>
      <c r="F95" s="22" t="s">
        <v>789</v>
      </c>
      <c r="G95" s="23" t="s">
        <v>32</v>
      </c>
      <c r="H95" s="23" t="s">
        <v>32</v>
      </c>
      <c r="I95" s="23" t="s">
        <v>32</v>
      </c>
      <c r="J95" s="23" t="s">
        <v>32</v>
      </c>
      <c r="K95" s="22" t="s">
        <v>790</v>
      </c>
      <c r="L95" s="22" t="s">
        <v>791</v>
      </c>
      <c r="M95" s="22" t="s">
        <v>32</v>
      </c>
      <c r="N95" s="22" t="s">
        <v>792</v>
      </c>
      <c r="O95" s="23" t="s">
        <v>42</v>
      </c>
      <c r="P95" s="23" t="s">
        <v>793</v>
      </c>
      <c r="Q95" s="22" t="s">
        <v>32</v>
      </c>
      <c r="R95" s="22" t="s">
        <v>32</v>
      </c>
      <c r="S95" s="22" t="s">
        <v>32</v>
      </c>
      <c r="T95" s="23" t="s">
        <v>59</v>
      </c>
      <c r="U95" s="22" t="s">
        <v>32</v>
      </c>
      <c r="V95" s="22" t="s">
        <v>719</v>
      </c>
      <c r="W95" s="23" t="s">
        <v>32</v>
      </c>
      <c r="X95" s="22" t="s">
        <v>39</v>
      </c>
      <c r="Y95" s="22" t="s">
        <v>722</v>
      </c>
      <c r="Z95" s="22">
        <v>0.85</v>
      </c>
      <c r="AA95" s="22" t="s">
        <v>794</v>
      </c>
      <c r="AB95" s="1" t="s">
        <v>725</v>
      </c>
      <c r="AC95" s="1" t="s">
        <v>795</v>
      </c>
      <c r="AD95" s="1" t="s">
        <v>796</v>
      </c>
      <c r="AE95" s="1" t="s">
        <v>69</v>
      </c>
      <c r="AF95" s="1" t="s">
        <v>797</v>
      </c>
      <c r="AG95" s="1" t="s">
        <v>32</v>
      </c>
      <c r="AH95" s="1" t="s">
        <v>798</v>
      </c>
      <c r="AI95" s="1" t="s">
        <v>785</v>
      </c>
      <c r="AJ95" s="1" t="s">
        <v>786</v>
      </c>
      <c r="AK95" s="1" t="s">
        <v>74</v>
      </c>
      <c r="AL95" s="1">
        <v>-273</v>
      </c>
      <c r="AM95" s="1" t="s">
        <v>787</v>
      </c>
      <c r="AN95" s="1" t="s">
        <v>788</v>
      </c>
      <c r="AO95" s="1" t="s">
        <v>699</v>
      </c>
      <c r="AP95" s="1" t="s">
        <v>78</v>
      </c>
      <c r="AQ95" s="1" t="s">
        <v>78</v>
      </c>
      <c r="AR95" s="1" t="s">
        <v>113</v>
      </c>
      <c r="AS95" s="1" t="s">
        <v>78</v>
      </c>
      <c r="AT95" s="1" t="s">
        <v>57</v>
      </c>
      <c r="AU95" s="1"/>
    </row>
    <row r="96" spans="1:47" ht="18" customHeight="1" x14ac:dyDescent="0.2">
      <c r="B96" s="16" t="s">
        <v>1305</v>
      </c>
      <c r="C96" s="1" t="s">
        <v>1378</v>
      </c>
      <c r="D96" s="22" t="s">
        <v>621</v>
      </c>
      <c r="E96" s="22" t="s">
        <v>32</v>
      </c>
      <c r="F96" s="22" t="s">
        <v>799</v>
      </c>
      <c r="G96" s="23" t="s">
        <v>32</v>
      </c>
      <c r="H96" s="23" t="s">
        <v>32</v>
      </c>
      <c r="I96" s="23" t="s">
        <v>32</v>
      </c>
      <c r="J96" s="23" t="s">
        <v>32</v>
      </c>
      <c r="K96" s="22" t="s">
        <v>800</v>
      </c>
      <c r="L96" s="22" t="s">
        <v>719</v>
      </c>
      <c r="M96" s="22" t="s">
        <v>32</v>
      </c>
      <c r="N96" s="22" t="s">
        <v>32</v>
      </c>
      <c r="O96" s="23" t="s">
        <v>801</v>
      </c>
      <c r="P96" s="23" t="s">
        <v>701</v>
      </c>
      <c r="Q96" s="22" t="s">
        <v>32</v>
      </c>
      <c r="R96" s="22" t="s">
        <v>32</v>
      </c>
      <c r="S96" s="22" t="s">
        <v>32</v>
      </c>
      <c r="T96" s="23" t="s">
        <v>59</v>
      </c>
      <c r="U96" s="22" t="s">
        <v>32</v>
      </c>
      <c r="V96" s="22" t="s">
        <v>59</v>
      </c>
      <c r="W96" s="23" t="s">
        <v>32</v>
      </c>
      <c r="X96" s="22" t="s">
        <v>226</v>
      </c>
      <c r="Y96" s="22" t="s">
        <v>32</v>
      </c>
      <c r="Z96" s="22">
        <v>2.2999999999999998</v>
      </c>
      <c r="AA96" s="22" t="s">
        <v>802</v>
      </c>
      <c r="AB96" s="1" t="s">
        <v>803</v>
      </c>
      <c r="AC96" s="1" t="s">
        <v>804</v>
      </c>
      <c r="AD96" s="1" t="s">
        <v>805</v>
      </c>
      <c r="AE96" s="1" t="s">
        <v>806</v>
      </c>
      <c r="AF96" s="1" t="s">
        <v>807</v>
      </c>
      <c r="AG96" s="1" t="s">
        <v>32</v>
      </c>
      <c r="AH96" s="1" t="s">
        <v>358</v>
      </c>
      <c r="AI96" s="1" t="s">
        <v>602</v>
      </c>
      <c r="AJ96" s="1" t="s">
        <v>808</v>
      </c>
      <c r="AK96" s="1" t="s">
        <v>53</v>
      </c>
      <c r="AL96" s="1">
        <v>-273</v>
      </c>
      <c r="AM96" s="1" t="s">
        <v>809</v>
      </c>
      <c r="AN96" s="1" t="s">
        <v>810</v>
      </c>
      <c r="AO96" s="1" t="s">
        <v>811</v>
      </c>
      <c r="AP96" s="1" t="s">
        <v>78</v>
      </c>
      <c r="AQ96" s="1" t="s">
        <v>78</v>
      </c>
      <c r="AR96" s="1" t="s">
        <v>113</v>
      </c>
      <c r="AS96" s="1" t="s">
        <v>78</v>
      </c>
      <c r="AT96" s="1" t="s">
        <v>57</v>
      </c>
      <c r="AU96" s="1"/>
    </row>
    <row r="97" spans="2:47" ht="18" customHeight="1" x14ac:dyDescent="0.2">
      <c r="B97" s="16" t="s">
        <v>1306</v>
      </c>
      <c r="C97" s="1" t="s">
        <v>1379</v>
      </c>
      <c r="D97" s="22" t="s">
        <v>774</v>
      </c>
      <c r="E97" s="22" t="s">
        <v>32</v>
      </c>
      <c r="F97" s="22" t="s">
        <v>812</v>
      </c>
      <c r="G97" s="23" t="s">
        <v>32</v>
      </c>
      <c r="H97" s="23" t="s">
        <v>32</v>
      </c>
      <c r="I97" s="23" t="s">
        <v>32</v>
      </c>
      <c r="J97" s="23" t="s">
        <v>32</v>
      </c>
      <c r="K97" s="22" t="s">
        <v>813</v>
      </c>
      <c r="L97" s="22" t="s">
        <v>273</v>
      </c>
      <c r="M97" s="22" t="s">
        <v>32</v>
      </c>
      <c r="N97" s="22" t="s">
        <v>32</v>
      </c>
      <c r="O97" s="23" t="s">
        <v>814</v>
      </c>
      <c r="P97" s="23" t="s">
        <v>793</v>
      </c>
      <c r="Q97" s="22" t="s">
        <v>32</v>
      </c>
      <c r="R97" s="22" t="s">
        <v>32</v>
      </c>
      <c r="S97" s="22" t="s">
        <v>32</v>
      </c>
      <c r="T97" s="23" t="s">
        <v>42</v>
      </c>
      <c r="U97" s="22" t="s">
        <v>32</v>
      </c>
      <c r="V97" s="22" t="s">
        <v>746</v>
      </c>
      <c r="W97" s="23" t="s">
        <v>748</v>
      </c>
      <c r="X97" s="22" t="s">
        <v>59</v>
      </c>
      <c r="Y97" s="22" t="s">
        <v>749</v>
      </c>
      <c r="Z97" s="22">
        <v>0.85</v>
      </c>
      <c r="AA97" s="22" t="s">
        <v>815</v>
      </c>
      <c r="AB97" s="1" t="s">
        <v>240</v>
      </c>
      <c r="AC97" s="1" t="s">
        <v>607</v>
      </c>
      <c r="AD97" s="1" t="s">
        <v>660</v>
      </c>
      <c r="AE97" s="1" t="s">
        <v>816</v>
      </c>
      <c r="AF97" s="1" t="s">
        <v>817</v>
      </c>
      <c r="AG97" s="1" t="s">
        <v>32</v>
      </c>
      <c r="AH97" s="1" t="s">
        <v>640</v>
      </c>
      <c r="AI97" s="1" t="s">
        <v>602</v>
      </c>
      <c r="AJ97" s="1" t="s">
        <v>818</v>
      </c>
      <c r="AK97" s="1" t="s">
        <v>53</v>
      </c>
      <c r="AL97" s="1">
        <v>-273</v>
      </c>
      <c r="AM97" s="1" t="s">
        <v>759</v>
      </c>
      <c r="AN97" s="1" t="s">
        <v>734</v>
      </c>
      <c r="AO97" s="1" t="s">
        <v>437</v>
      </c>
      <c r="AP97" s="1" t="s">
        <v>113</v>
      </c>
      <c r="AQ97" s="1" t="s">
        <v>78</v>
      </c>
      <c r="AR97" s="1" t="s">
        <v>113</v>
      </c>
      <c r="AS97" s="1" t="s">
        <v>78</v>
      </c>
      <c r="AT97" s="1" t="s">
        <v>57</v>
      </c>
      <c r="AU97" s="1"/>
    </row>
    <row r="98" spans="2:47" ht="18" customHeight="1" x14ac:dyDescent="0.2">
      <c r="B98" s="16" t="s">
        <v>1307</v>
      </c>
      <c r="C98" s="1" t="s">
        <v>1381</v>
      </c>
      <c r="D98" s="22" t="s">
        <v>621</v>
      </c>
      <c r="E98" s="22" t="s">
        <v>32</v>
      </c>
      <c r="F98" s="22" t="s">
        <v>819</v>
      </c>
      <c r="G98" s="23" t="s">
        <v>32</v>
      </c>
      <c r="H98" s="23" t="s">
        <v>32</v>
      </c>
      <c r="I98" s="23" t="s">
        <v>32</v>
      </c>
      <c r="J98" s="23" t="s">
        <v>39</v>
      </c>
      <c r="K98" s="22" t="s">
        <v>820</v>
      </c>
      <c r="L98" s="22" t="s">
        <v>719</v>
      </c>
      <c r="M98" s="22" t="s">
        <v>32</v>
      </c>
      <c r="N98" s="22" t="s">
        <v>32</v>
      </c>
      <c r="O98" s="23" t="s">
        <v>801</v>
      </c>
      <c r="P98" s="23" t="s">
        <v>821</v>
      </c>
      <c r="Q98" s="22" t="s">
        <v>32</v>
      </c>
      <c r="R98" s="22" t="s">
        <v>32</v>
      </c>
      <c r="S98" s="22" t="s">
        <v>32</v>
      </c>
      <c r="T98" s="23" t="s">
        <v>689</v>
      </c>
      <c r="U98" s="22" t="s">
        <v>32</v>
      </c>
      <c r="V98" s="22" t="s">
        <v>59</v>
      </c>
      <c r="W98" s="23" t="s">
        <v>32</v>
      </c>
      <c r="X98" s="22" t="s">
        <v>226</v>
      </c>
      <c r="Y98" s="22" t="s">
        <v>32</v>
      </c>
      <c r="Z98" s="22">
        <v>2.41</v>
      </c>
      <c r="AA98" s="22" t="s">
        <v>622</v>
      </c>
      <c r="AB98" s="1" t="s">
        <v>66</v>
      </c>
      <c r="AC98" s="1" t="s">
        <v>822</v>
      </c>
      <c r="AD98" s="1" t="s">
        <v>823</v>
      </c>
      <c r="AE98" s="1" t="s">
        <v>824</v>
      </c>
      <c r="AF98" s="1" t="s">
        <v>825</v>
      </c>
      <c r="AG98" s="1" t="s">
        <v>32</v>
      </c>
      <c r="AH98" s="1" t="s">
        <v>640</v>
      </c>
      <c r="AI98" s="1" t="s">
        <v>602</v>
      </c>
      <c r="AJ98" s="1" t="s">
        <v>818</v>
      </c>
      <c r="AK98" s="1" t="s">
        <v>53</v>
      </c>
      <c r="AL98" s="1">
        <v>-273</v>
      </c>
      <c r="AM98" s="1" t="s">
        <v>759</v>
      </c>
      <c r="AN98" s="1" t="s">
        <v>734</v>
      </c>
      <c r="AO98" s="1" t="s">
        <v>437</v>
      </c>
      <c r="AP98" s="1" t="s">
        <v>78</v>
      </c>
      <c r="AQ98" s="1" t="s">
        <v>78</v>
      </c>
      <c r="AR98" s="1" t="s">
        <v>113</v>
      </c>
      <c r="AS98" s="1" t="s">
        <v>78</v>
      </c>
      <c r="AT98" s="1" t="s">
        <v>57</v>
      </c>
      <c r="AU98" s="1"/>
    </row>
    <row r="99" spans="2:47" ht="18" customHeight="1" x14ac:dyDescent="0.2">
      <c r="B99" s="16" t="s">
        <v>1353</v>
      </c>
      <c r="C99" s="1" t="s">
        <v>1380</v>
      </c>
      <c r="D99" s="22" t="s">
        <v>826</v>
      </c>
      <c r="E99" s="22" t="s">
        <v>32</v>
      </c>
      <c r="F99" s="22" t="s">
        <v>827</v>
      </c>
      <c r="G99" s="23" t="s">
        <v>32</v>
      </c>
      <c r="H99" s="23" t="s">
        <v>32</v>
      </c>
      <c r="I99" s="23" t="s">
        <v>32</v>
      </c>
      <c r="J99" s="23" t="s">
        <v>32</v>
      </c>
      <c r="K99" s="22" t="s">
        <v>828</v>
      </c>
      <c r="L99" s="22" t="s">
        <v>829</v>
      </c>
      <c r="M99" s="22" t="s">
        <v>32</v>
      </c>
      <c r="N99" s="22" t="s">
        <v>32</v>
      </c>
      <c r="O99" s="23" t="s">
        <v>830</v>
      </c>
      <c r="P99" s="23" t="s">
        <v>32</v>
      </c>
      <c r="Q99" s="22" t="s">
        <v>831</v>
      </c>
      <c r="R99" s="22" t="s">
        <v>32</v>
      </c>
      <c r="S99" s="22" t="s">
        <v>32</v>
      </c>
      <c r="T99" s="23" t="s">
        <v>749</v>
      </c>
      <c r="U99" s="22" t="s">
        <v>32</v>
      </c>
      <c r="V99" s="22" t="s">
        <v>832</v>
      </c>
      <c r="W99" s="23" t="s">
        <v>32</v>
      </c>
      <c r="X99" s="22" t="s">
        <v>59</v>
      </c>
      <c r="Y99" s="22" t="s">
        <v>32</v>
      </c>
      <c r="Z99" s="22">
        <v>2.0499999999999998</v>
      </c>
      <c r="AA99" s="22" t="s">
        <v>703</v>
      </c>
      <c r="AB99" s="1" t="s">
        <v>780</v>
      </c>
      <c r="AC99" s="1" t="s">
        <v>295</v>
      </c>
      <c r="AD99" s="1" t="s">
        <v>833</v>
      </c>
      <c r="AE99" s="1" t="s">
        <v>834</v>
      </c>
      <c r="AF99" s="1" t="s">
        <v>835</v>
      </c>
      <c r="AG99" s="1" t="s">
        <v>32</v>
      </c>
      <c r="AH99" s="1" t="s">
        <v>836</v>
      </c>
      <c r="AI99" s="1" t="s">
        <v>837</v>
      </c>
      <c r="AJ99" s="1" t="s">
        <v>838</v>
      </c>
      <c r="AK99" s="1" t="s">
        <v>839</v>
      </c>
      <c r="AL99" s="1">
        <v>-273</v>
      </c>
      <c r="AM99" s="1" t="s">
        <v>840</v>
      </c>
      <c r="AN99" s="1" t="s">
        <v>566</v>
      </c>
      <c r="AO99" s="1" t="s">
        <v>56</v>
      </c>
      <c r="AP99" s="1" t="s">
        <v>113</v>
      </c>
      <c r="AQ99" s="1" t="s">
        <v>113</v>
      </c>
      <c r="AR99" s="1" t="s">
        <v>113</v>
      </c>
      <c r="AS99" s="1" t="s">
        <v>78</v>
      </c>
      <c r="AT99" s="1" t="s">
        <v>57</v>
      </c>
      <c r="AU99" s="1"/>
    </row>
    <row r="100" spans="2:47" ht="18" customHeight="1" x14ac:dyDescent="0.2">
      <c r="B100" s="16" t="s">
        <v>1353</v>
      </c>
      <c r="C100" s="1" t="s">
        <v>1382</v>
      </c>
      <c r="D100" s="22" t="s">
        <v>294</v>
      </c>
      <c r="E100" s="22" t="s">
        <v>32</v>
      </c>
      <c r="F100" s="22" t="s">
        <v>827</v>
      </c>
      <c r="G100" s="23" t="s">
        <v>32</v>
      </c>
      <c r="H100" s="23" t="s">
        <v>32</v>
      </c>
      <c r="I100" s="23" t="s">
        <v>32</v>
      </c>
      <c r="J100" s="23" t="s">
        <v>32</v>
      </c>
      <c r="K100" s="22" t="s">
        <v>828</v>
      </c>
      <c r="L100" s="22" t="s">
        <v>829</v>
      </c>
      <c r="M100" s="22" t="s">
        <v>32</v>
      </c>
      <c r="N100" s="22" t="s">
        <v>32</v>
      </c>
      <c r="O100" s="23" t="s">
        <v>830</v>
      </c>
      <c r="P100" s="23" t="s">
        <v>32</v>
      </c>
      <c r="Q100" s="22" t="s">
        <v>831</v>
      </c>
      <c r="R100" s="22" t="s">
        <v>32</v>
      </c>
      <c r="S100" s="22" t="s">
        <v>32</v>
      </c>
      <c r="T100" s="23" t="s">
        <v>749</v>
      </c>
      <c r="U100" s="22" t="s">
        <v>32</v>
      </c>
      <c r="V100" s="22" t="s">
        <v>832</v>
      </c>
      <c r="W100" s="23" t="s">
        <v>32</v>
      </c>
      <c r="X100" s="22" t="s">
        <v>59</v>
      </c>
      <c r="Y100" s="22" t="s">
        <v>32</v>
      </c>
      <c r="Z100" s="22">
        <v>2.0499999999999998</v>
      </c>
      <c r="AA100" s="22" t="s">
        <v>703</v>
      </c>
      <c r="AB100" s="1" t="s">
        <v>780</v>
      </c>
      <c r="AC100" s="1" t="s">
        <v>841</v>
      </c>
      <c r="AD100" s="1" t="s">
        <v>842</v>
      </c>
      <c r="AE100" s="1" t="s">
        <v>843</v>
      </c>
      <c r="AF100" s="1" t="s">
        <v>587</v>
      </c>
      <c r="AG100" s="1" t="s">
        <v>32</v>
      </c>
      <c r="AH100" s="1" t="s">
        <v>844</v>
      </c>
      <c r="AI100" s="1" t="s">
        <v>845</v>
      </c>
      <c r="AJ100" s="1" t="s">
        <v>838</v>
      </c>
      <c r="AK100" s="1" t="s">
        <v>839</v>
      </c>
      <c r="AL100" s="1">
        <v>-273</v>
      </c>
      <c r="AM100" s="1" t="s">
        <v>840</v>
      </c>
      <c r="AN100" s="1" t="s">
        <v>566</v>
      </c>
      <c r="AO100" s="1" t="s">
        <v>56</v>
      </c>
      <c r="AP100" s="1" t="s">
        <v>113</v>
      </c>
      <c r="AQ100" s="1" t="s">
        <v>113</v>
      </c>
      <c r="AR100" s="1" t="s">
        <v>113</v>
      </c>
      <c r="AS100" s="1" t="s">
        <v>78</v>
      </c>
      <c r="AT100" s="1" t="s">
        <v>57</v>
      </c>
      <c r="AU100" s="1"/>
    </row>
    <row r="101" spans="2:47" ht="18" customHeight="1" x14ac:dyDescent="0.2">
      <c r="B101" s="16" t="s">
        <v>1353</v>
      </c>
      <c r="C101" s="1" t="s">
        <v>1382</v>
      </c>
      <c r="D101" s="22" t="s">
        <v>846</v>
      </c>
      <c r="E101" s="22" t="s">
        <v>32</v>
      </c>
      <c r="F101" s="22" t="s">
        <v>827</v>
      </c>
      <c r="G101" s="23" t="s">
        <v>32</v>
      </c>
      <c r="H101" s="23" t="s">
        <v>32</v>
      </c>
      <c r="I101" s="23" t="s">
        <v>32</v>
      </c>
      <c r="J101" s="23" t="s">
        <v>32</v>
      </c>
      <c r="K101" s="22" t="s">
        <v>828</v>
      </c>
      <c r="L101" s="22" t="s">
        <v>829</v>
      </c>
      <c r="M101" s="22" t="s">
        <v>32</v>
      </c>
      <c r="N101" s="22" t="s">
        <v>32</v>
      </c>
      <c r="O101" s="23" t="s">
        <v>830</v>
      </c>
      <c r="P101" s="23" t="s">
        <v>32</v>
      </c>
      <c r="Q101" s="22" t="s">
        <v>831</v>
      </c>
      <c r="R101" s="22" t="s">
        <v>32</v>
      </c>
      <c r="S101" s="22" t="s">
        <v>32</v>
      </c>
      <c r="T101" s="23" t="s">
        <v>749</v>
      </c>
      <c r="U101" s="22" t="s">
        <v>32</v>
      </c>
      <c r="V101" s="22" t="s">
        <v>832</v>
      </c>
      <c r="W101" s="23" t="s">
        <v>32</v>
      </c>
      <c r="X101" s="22" t="s">
        <v>59</v>
      </c>
      <c r="Y101" s="22" t="s">
        <v>32</v>
      </c>
      <c r="Z101" s="22">
        <v>2.0499999999999998</v>
      </c>
      <c r="AA101" s="22" t="s">
        <v>703</v>
      </c>
      <c r="AB101" s="1" t="s">
        <v>780</v>
      </c>
      <c r="AC101" s="1" t="s">
        <v>841</v>
      </c>
      <c r="AD101" s="1" t="s">
        <v>842</v>
      </c>
      <c r="AE101" s="1" t="s">
        <v>843</v>
      </c>
      <c r="AF101" s="1" t="s">
        <v>587</v>
      </c>
      <c r="AG101" s="1">
        <v>120</v>
      </c>
      <c r="AH101" s="1" t="s">
        <v>844</v>
      </c>
      <c r="AI101" s="1" t="s">
        <v>845</v>
      </c>
      <c r="AJ101" s="1" t="s">
        <v>838</v>
      </c>
      <c r="AK101" s="1" t="s">
        <v>839</v>
      </c>
      <c r="AL101" s="1">
        <v>-273</v>
      </c>
      <c r="AM101" s="1" t="s">
        <v>840</v>
      </c>
      <c r="AN101" s="1" t="s">
        <v>566</v>
      </c>
      <c r="AO101" s="1" t="s">
        <v>56</v>
      </c>
      <c r="AP101" s="1" t="s">
        <v>113</v>
      </c>
      <c r="AQ101" s="1" t="s">
        <v>113</v>
      </c>
      <c r="AR101" s="1" t="s">
        <v>113</v>
      </c>
      <c r="AS101" s="1" t="s">
        <v>78</v>
      </c>
      <c r="AT101" s="1" t="s">
        <v>57</v>
      </c>
      <c r="AU101" s="1"/>
    </row>
    <row r="102" spans="2:47" ht="18" customHeight="1" x14ac:dyDescent="0.2">
      <c r="B102" s="16" t="s">
        <v>1308</v>
      </c>
      <c r="C102" s="1" t="s">
        <v>1383</v>
      </c>
      <c r="D102" s="22" t="s">
        <v>847</v>
      </c>
      <c r="E102" s="22" t="s">
        <v>32</v>
      </c>
      <c r="F102" s="22" t="s">
        <v>848</v>
      </c>
      <c r="G102" s="23" t="s">
        <v>32</v>
      </c>
      <c r="H102" s="23" t="s">
        <v>32</v>
      </c>
      <c r="I102" s="23" t="s">
        <v>32</v>
      </c>
      <c r="J102" s="23" t="s">
        <v>32</v>
      </c>
      <c r="K102" s="22" t="s">
        <v>42</v>
      </c>
      <c r="L102" s="22" t="s">
        <v>550</v>
      </c>
      <c r="M102" s="22" t="s">
        <v>32</v>
      </c>
      <c r="N102" s="22" t="s">
        <v>32</v>
      </c>
      <c r="O102" s="23" t="s">
        <v>849</v>
      </c>
      <c r="P102" s="23" t="s">
        <v>185</v>
      </c>
      <c r="Q102" s="22" t="s">
        <v>32</v>
      </c>
      <c r="R102" s="22" t="s">
        <v>32</v>
      </c>
      <c r="S102" s="22" t="s">
        <v>32</v>
      </c>
      <c r="T102" s="23" t="s">
        <v>273</v>
      </c>
      <c r="U102" s="22" t="s">
        <v>32</v>
      </c>
      <c r="V102" s="22" t="s">
        <v>32</v>
      </c>
      <c r="W102" s="23" t="s">
        <v>32</v>
      </c>
      <c r="X102" s="22" t="s">
        <v>42</v>
      </c>
      <c r="Y102" s="24" t="s">
        <v>32</v>
      </c>
      <c r="Z102" s="24">
        <v>3.1</v>
      </c>
      <c r="AA102" s="22" t="s">
        <v>186</v>
      </c>
      <c r="AB102" s="1" t="s">
        <v>518</v>
      </c>
      <c r="AC102" s="1" t="s">
        <v>850</v>
      </c>
      <c r="AD102" s="1" t="s">
        <v>851</v>
      </c>
      <c r="AE102" s="1" t="s">
        <v>614</v>
      </c>
      <c r="AF102" s="1" t="s">
        <v>490</v>
      </c>
      <c r="AG102" s="1" t="s">
        <v>32</v>
      </c>
      <c r="AH102" s="1">
        <v>95</v>
      </c>
      <c r="AI102" s="1" t="s">
        <v>524</v>
      </c>
      <c r="AJ102" s="1" t="s">
        <v>852</v>
      </c>
      <c r="AK102" s="1" t="s">
        <v>245</v>
      </c>
      <c r="AL102" s="1">
        <v>-273</v>
      </c>
      <c r="AM102" s="1" t="s">
        <v>853</v>
      </c>
      <c r="AN102" s="1" t="s">
        <v>854</v>
      </c>
      <c r="AO102" s="1" t="s">
        <v>855</v>
      </c>
      <c r="AP102" s="1" t="s">
        <v>113</v>
      </c>
      <c r="AQ102" s="1" t="s">
        <v>113</v>
      </c>
      <c r="AR102" s="1" t="s">
        <v>113</v>
      </c>
      <c r="AS102" s="1" t="s">
        <v>113</v>
      </c>
      <c r="AT102" s="1" t="s">
        <v>57</v>
      </c>
      <c r="AU102" s="1"/>
    </row>
    <row r="103" spans="2:47" ht="18" customHeight="1" x14ac:dyDescent="0.2">
      <c r="B103" s="16" t="s">
        <v>1308</v>
      </c>
      <c r="C103" s="1" t="s">
        <v>1384</v>
      </c>
      <c r="D103" s="22" t="s">
        <v>467</v>
      </c>
      <c r="E103" s="22" t="s">
        <v>32</v>
      </c>
      <c r="F103" s="22" t="s">
        <v>848</v>
      </c>
      <c r="G103" s="23" t="s">
        <v>32</v>
      </c>
      <c r="H103" s="23" t="s">
        <v>32</v>
      </c>
      <c r="I103" s="23" t="s">
        <v>32</v>
      </c>
      <c r="J103" s="23" t="s">
        <v>32</v>
      </c>
      <c r="K103" s="22" t="s">
        <v>42</v>
      </c>
      <c r="L103" s="22" t="s">
        <v>550</v>
      </c>
      <c r="M103" s="22" t="s">
        <v>32</v>
      </c>
      <c r="N103" s="22" t="s">
        <v>32</v>
      </c>
      <c r="O103" s="23" t="s">
        <v>849</v>
      </c>
      <c r="P103" s="23" t="s">
        <v>185</v>
      </c>
      <c r="Q103" s="22" t="s">
        <v>32</v>
      </c>
      <c r="R103" s="22" t="s">
        <v>32</v>
      </c>
      <c r="S103" s="22" t="s">
        <v>32</v>
      </c>
      <c r="T103" s="23" t="s">
        <v>273</v>
      </c>
      <c r="U103" s="22" t="s">
        <v>32</v>
      </c>
      <c r="V103" s="22" t="s">
        <v>32</v>
      </c>
      <c r="W103" s="23" t="s">
        <v>32</v>
      </c>
      <c r="X103" s="22" t="s">
        <v>42</v>
      </c>
      <c r="Y103" s="24" t="s">
        <v>32</v>
      </c>
      <c r="Z103" s="24">
        <v>3.1</v>
      </c>
      <c r="AA103" s="22" t="s">
        <v>517</v>
      </c>
      <c r="AB103" s="1" t="s">
        <v>518</v>
      </c>
      <c r="AC103" s="1" t="s">
        <v>860</v>
      </c>
      <c r="AD103" s="1" t="s">
        <v>174</v>
      </c>
      <c r="AE103" s="1" t="s">
        <v>861</v>
      </c>
      <c r="AF103" s="1" t="s">
        <v>862</v>
      </c>
      <c r="AG103" s="1">
        <v>83</v>
      </c>
      <c r="AH103" s="1">
        <v>140</v>
      </c>
      <c r="AI103" s="1" t="s">
        <v>524</v>
      </c>
      <c r="AJ103" s="1" t="s">
        <v>867</v>
      </c>
      <c r="AK103" s="1" t="s">
        <v>245</v>
      </c>
      <c r="AL103" s="1">
        <v>-273</v>
      </c>
      <c r="AM103" s="1" t="s">
        <v>853</v>
      </c>
      <c r="AN103" s="1" t="s">
        <v>854</v>
      </c>
      <c r="AO103" s="1" t="s">
        <v>855</v>
      </c>
      <c r="AP103" s="1" t="s">
        <v>113</v>
      </c>
      <c r="AQ103" s="1" t="s">
        <v>113</v>
      </c>
      <c r="AR103" s="1" t="s">
        <v>113</v>
      </c>
      <c r="AS103" s="1" t="s">
        <v>113</v>
      </c>
      <c r="AT103" s="1" t="s">
        <v>57</v>
      </c>
      <c r="AU103" s="1"/>
    </row>
    <row r="104" spans="2:47" ht="18" customHeight="1" x14ac:dyDescent="0.2">
      <c r="B104" s="16" t="s">
        <v>1308</v>
      </c>
      <c r="C104" s="1" t="s">
        <v>1383</v>
      </c>
      <c r="D104" s="22" t="s">
        <v>856</v>
      </c>
      <c r="E104" s="22" t="s">
        <v>32</v>
      </c>
      <c r="F104" s="22" t="s">
        <v>848</v>
      </c>
      <c r="G104" s="23" t="s">
        <v>32</v>
      </c>
      <c r="H104" s="23" t="s">
        <v>32</v>
      </c>
      <c r="I104" s="23" t="s">
        <v>32</v>
      </c>
      <c r="J104" s="23" t="s">
        <v>32</v>
      </c>
      <c r="K104" s="22" t="s">
        <v>42</v>
      </c>
      <c r="L104" s="22" t="s">
        <v>550</v>
      </c>
      <c r="M104" s="22" t="s">
        <v>32</v>
      </c>
      <c r="N104" s="22" t="s">
        <v>32</v>
      </c>
      <c r="O104" s="23" t="s">
        <v>849</v>
      </c>
      <c r="P104" s="23" t="s">
        <v>185</v>
      </c>
      <c r="Q104" s="22" t="s">
        <v>32</v>
      </c>
      <c r="R104" s="22" t="s">
        <v>32</v>
      </c>
      <c r="S104" s="22" t="s">
        <v>32</v>
      </c>
      <c r="T104" s="23" t="s">
        <v>273</v>
      </c>
      <c r="U104" s="22" t="s">
        <v>32</v>
      </c>
      <c r="V104" s="22" t="s">
        <v>32</v>
      </c>
      <c r="W104" s="23" t="s">
        <v>32</v>
      </c>
      <c r="X104" s="22" t="s">
        <v>42</v>
      </c>
      <c r="Y104" s="24" t="s">
        <v>32</v>
      </c>
      <c r="Z104" s="24">
        <v>3.1</v>
      </c>
      <c r="AA104" s="22" t="s">
        <v>186</v>
      </c>
      <c r="AB104" s="1" t="s">
        <v>518</v>
      </c>
      <c r="AC104" s="1" t="s">
        <v>863</v>
      </c>
      <c r="AD104" s="1" t="s">
        <v>864</v>
      </c>
      <c r="AE104" s="1" t="s">
        <v>865</v>
      </c>
      <c r="AF104" s="1" t="s">
        <v>866</v>
      </c>
      <c r="AG104" s="1">
        <v>54</v>
      </c>
      <c r="AH104" s="1">
        <v>105</v>
      </c>
      <c r="AI104" s="1" t="s">
        <v>524</v>
      </c>
      <c r="AJ104" s="1" t="s">
        <v>852</v>
      </c>
      <c r="AK104" s="1" t="s">
        <v>245</v>
      </c>
      <c r="AL104" s="1">
        <v>-273</v>
      </c>
      <c r="AM104" s="1" t="s">
        <v>853</v>
      </c>
      <c r="AN104" s="1" t="s">
        <v>854</v>
      </c>
      <c r="AO104" s="1" t="s">
        <v>855</v>
      </c>
      <c r="AP104" s="1" t="s">
        <v>113</v>
      </c>
      <c r="AQ104" s="1" t="s">
        <v>113</v>
      </c>
      <c r="AR104" s="1" t="s">
        <v>113</v>
      </c>
      <c r="AS104" s="1" t="s">
        <v>113</v>
      </c>
      <c r="AT104" s="1" t="s">
        <v>57</v>
      </c>
      <c r="AU104" s="1"/>
    </row>
    <row r="105" spans="2:47" ht="18" customHeight="1" x14ac:dyDescent="0.2">
      <c r="B105" s="16" t="s">
        <v>1308</v>
      </c>
      <c r="C105" s="1" t="s">
        <v>1383</v>
      </c>
      <c r="D105" s="22" t="s">
        <v>857</v>
      </c>
      <c r="E105" s="22" t="s">
        <v>32</v>
      </c>
      <c r="F105" s="22" t="s">
        <v>848</v>
      </c>
      <c r="G105" s="23" t="s">
        <v>32</v>
      </c>
      <c r="H105" s="23" t="s">
        <v>32</v>
      </c>
      <c r="I105" s="23" t="s">
        <v>32</v>
      </c>
      <c r="J105" s="23" t="s">
        <v>32</v>
      </c>
      <c r="K105" s="22" t="s">
        <v>42</v>
      </c>
      <c r="L105" s="22" t="s">
        <v>550</v>
      </c>
      <c r="M105" s="22" t="s">
        <v>32</v>
      </c>
      <c r="N105" s="22" t="s">
        <v>32</v>
      </c>
      <c r="O105" s="23" t="s">
        <v>849</v>
      </c>
      <c r="P105" s="23" t="s">
        <v>185</v>
      </c>
      <c r="Q105" s="22" t="s">
        <v>32</v>
      </c>
      <c r="R105" s="22" t="s">
        <v>32</v>
      </c>
      <c r="S105" s="22" t="s">
        <v>32</v>
      </c>
      <c r="T105" s="23" t="s">
        <v>273</v>
      </c>
      <c r="U105" s="22" t="s">
        <v>32</v>
      </c>
      <c r="V105" s="22" t="s">
        <v>32</v>
      </c>
      <c r="W105" s="23" t="s">
        <v>32</v>
      </c>
      <c r="X105" s="22" t="s">
        <v>42</v>
      </c>
      <c r="Y105" s="24" t="s">
        <v>32</v>
      </c>
      <c r="Z105" s="24">
        <v>3.1</v>
      </c>
      <c r="AA105" s="22" t="s">
        <v>517</v>
      </c>
      <c r="AB105" s="1" t="s">
        <v>518</v>
      </c>
      <c r="AC105" s="1" t="s">
        <v>434</v>
      </c>
      <c r="AD105" s="1" t="s">
        <v>868</v>
      </c>
      <c r="AE105" s="1" t="s">
        <v>869</v>
      </c>
      <c r="AF105" s="1" t="s">
        <v>870</v>
      </c>
      <c r="AG105" s="1">
        <v>64</v>
      </c>
      <c r="AH105" s="1" t="s">
        <v>871</v>
      </c>
      <c r="AI105" s="1" t="s">
        <v>524</v>
      </c>
      <c r="AJ105" s="1" t="s">
        <v>852</v>
      </c>
      <c r="AK105" s="1" t="s">
        <v>245</v>
      </c>
      <c r="AL105" s="1">
        <v>-273</v>
      </c>
      <c r="AM105" s="1" t="s">
        <v>853</v>
      </c>
      <c r="AN105" s="1" t="s">
        <v>854</v>
      </c>
      <c r="AO105" s="1" t="s">
        <v>855</v>
      </c>
      <c r="AP105" s="1" t="s">
        <v>113</v>
      </c>
      <c r="AQ105" s="1" t="s">
        <v>113</v>
      </c>
      <c r="AR105" s="1" t="s">
        <v>113</v>
      </c>
      <c r="AS105" s="1" t="s">
        <v>113</v>
      </c>
      <c r="AT105" s="1" t="s">
        <v>57</v>
      </c>
      <c r="AU105" s="1"/>
    </row>
    <row r="106" spans="2:47" ht="18" customHeight="1" x14ac:dyDescent="0.2">
      <c r="B106" s="16" t="s">
        <v>1308</v>
      </c>
      <c r="C106" s="1" t="s">
        <v>1383</v>
      </c>
      <c r="D106" s="22" t="s">
        <v>858</v>
      </c>
      <c r="E106" s="22" t="s">
        <v>32</v>
      </c>
      <c r="F106" s="22" t="s">
        <v>848</v>
      </c>
      <c r="G106" s="23" t="s">
        <v>32</v>
      </c>
      <c r="H106" s="23" t="s">
        <v>32</v>
      </c>
      <c r="I106" s="23" t="s">
        <v>32</v>
      </c>
      <c r="J106" s="23" t="s">
        <v>32</v>
      </c>
      <c r="K106" s="22" t="s">
        <v>42</v>
      </c>
      <c r="L106" s="22" t="s">
        <v>550</v>
      </c>
      <c r="M106" s="22" t="s">
        <v>32</v>
      </c>
      <c r="N106" s="22" t="s">
        <v>32</v>
      </c>
      <c r="O106" s="23" t="s">
        <v>849</v>
      </c>
      <c r="P106" s="23" t="s">
        <v>185</v>
      </c>
      <c r="Q106" s="22" t="s">
        <v>32</v>
      </c>
      <c r="R106" s="22" t="s">
        <v>32</v>
      </c>
      <c r="S106" s="22" t="s">
        <v>32</v>
      </c>
      <c r="T106" s="23" t="s">
        <v>273</v>
      </c>
      <c r="U106" s="22" t="s">
        <v>32</v>
      </c>
      <c r="V106" s="22" t="s">
        <v>32</v>
      </c>
      <c r="W106" s="23" t="s">
        <v>32</v>
      </c>
      <c r="X106" s="22" t="s">
        <v>42</v>
      </c>
      <c r="Y106" s="24" t="s">
        <v>32</v>
      </c>
      <c r="Z106" s="24">
        <v>3.1</v>
      </c>
      <c r="AA106" s="22" t="s">
        <v>517</v>
      </c>
      <c r="AB106" s="1" t="s">
        <v>518</v>
      </c>
      <c r="AC106" s="1" t="s">
        <v>363</v>
      </c>
      <c r="AD106" s="1" t="s">
        <v>363</v>
      </c>
      <c r="AE106" s="1" t="s">
        <v>872</v>
      </c>
      <c r="AF106" s="1" t="s">
        <v>499</v>
      </c>
      <c r="AG106" s="1">
        <v>71</v>
      </c>
      <c r="AH106" s="1">
        <v>110</v>
      </c>
      <c r="AI106" s="1" t="s">
        <v>524</v>
      </c>
      <c r="AJ106" s="1" t="s">
        <v>852</v>
      </c>
      <c r="AK106" s="1" t="s">
        <v>245</v>
      </c>
      <c r="AL106" s="1">
        <v>-273</v>
      </c>
      <c r="AM106" s="1" t="s">
        <v>853</v>
      </c>
      <c r="AN106" s="1" t="s">
        <v>854</v>
      </c>
      <c r="AO106" s="1" t="s">
        <v>855</v>
      </c>
      <c r="AP106" s="1" t="s">
        <v>113</v>
      </c>
      <c r="AQ106" s="1" t="s">
        <v>113</v>
      </c>
      <c r="AR106" s="1" t="s">
        <v>113</v>
      </c>
      <c r="AS106" s="1" t="s">
        <v>113</v>
      </c>
      <c r="AT106" s="1" t="s">
        <v>57</v>
      </c>
      <c r="AU106" s="1"/>
    </row>
    <row r="107" spans="2:47" ht="18" customHeight="1" x14ac:dyDescent="0.2">
      <c r="B107" s="16" t="s">
        <v>1308</v>
      </c>
      <c r="C107" s="1" t="s">
        <v>1383</v>
      </c>
      <c r="D107" s="22" t="s">
        <v>859</v>
      </c>
      <c r="E107" s="22" t="s">
        <v>32</v>
      </c>
      <c r="F107" s="22" t="s">
        <v>848</v>
      </c>
      <c r="G107" s="23" t="s">
        <v>32</v>
      </c>
      <c r="H107" s="23" t="s">
        <v>32</v>
      </c>
      <c r="I107" s="23" t="s">
        <v>32</v>
      </c>
      <c r="J107" s="23" t="s">
        <v>32</v>
      </c>
      <c r="K107" s="22" t="s">
        <v>42</v>
      </c>
      <c r="L107" s="22" t="s">
        <v>550</v>
      </c>
      <c r="M107" s="22" t="s">
        <v>32</v>
      </c>
      <c r="N107" s="22" t="s">
        <v>32</v>
      </c>
      <c r="O107" s="23" t="s">
        <v>849</v>
      </c>
      <c r="P107" s="23" t="s">
        <v>185</v>
      </c>
      <c r="Q107" s="22" t="s">
        <v>32</v>
      </c>
      <c r="R107" s="22" t="s">
        <v>32</v>
      </c>
      <c r="S107" s="22" t="s">
        <v>32</v>
      </c>
      <c r="T107" s="23" t="s">
        <v>273</v>
      </c>
      <c r="U107" s="22" t="s">
        <v>32</v>
      </c>
      <c r="V107" s="22" t="s">
        <v>32</v>
      </c>
      <c r="W107" s="23" t="s">
        <v>32</v>
      </c>
      <c r="X107" s="22" t="s">
        <v>42</v>
      </c>
      <c r="Y107" s="24" t="s">
        <v>32</v>
      </c>
      <c r="Z107" s="24">
        <v>3.1</v>
      </c>
      <c r="AA107" s="22" t="s">
        <v>186</v>
      </c>
      <c r="AB107" s="1" t="s">
        <v>518</v>
      </c>
      <c r="AC107" s="1" t="s">
        <v>520</v>
      </c>
      <c r="AD107" s="1" t="s">
        <v>751</v>
      </c>
      <c r="AE107" s="1" t="s">
        <v>873</v>
      </c>
      <c r="AF107" s="1" t="s">
        <v>874</v>
      </c>
      <c r="AG107" s="1">
        <v>78</v>
      </c>
      <c r="AH107" s="1" t="s">
        <v>875</v>
      </c>
      <c r="AI107" s="1" t="s">
        <v>524</v>
      </c>
      <c r="AJ107" s="1" t="s">
        <v>852</v>
      </c>
      <c r="AK107" s="1" t="s">
        <v>245</v>
      </c>
      <c r="AL107" s="1">
        <v>-273</v>
      </c>
      <c r="AM107" s="1" t="s">
        <v>853</v>
      </c>
      <c r="AN107" s="1" t="s">
        <v>854</v>
      </c>
      <c r="AO107" s="1" t="s">
        <v>855</v>
      </c>
      <c r="AP107" s="1" t="s">
        <v>113</v>
      </c>
      <c r="AQ107" s="1" t="s">
        <v>113</v>
      </c>
      <c r="AR107" s="1" t="s">
        <v>113</v>
      </c>
      <c r="AS107" s="1" t="s">
        <v>113</v>
      </c>
      <c r="AT107" s="1" t="s">
        <v>57</v>
      </c>
      <c r="AU107" s="1"/>
    </row>
    <row r="108" spans="2:47" ht="18" customHeight="1" x14ac:dyDescent="0.2">
      <c r="B108" s="16" t="s">
        <v>1308</v>
      </c>
      <c r="C108" s="1" t="s">
        <v>1383</v>
      </c>
      <c r="D108" s="22" t="s">
        <v>481</v>
      </c>
      <c r="E108" s="22" t="s">
        <v>32</v>
      </c>
      <c r="F108" s="22" t="s">
        <v>848</v>
      </c>
      <c r="G108" s="23" t="s">
        <v>32</v>
      </c>
      <c r="H108" s="23" t="s">
        <v>32</v>
      </c>
      <c r="I108" s="23" t="s">
        <v>32</v>
      </c>
      <c r="J108" s="23" t="s">
        <v>32</v>
      </c>
      <c r="K108" s="22" t="s">
        <v>42</v>
      </c>
      <c r="L108" s="22" t="s">
        <v>550</v>
      </c>
      <c r="M108" s="22" t="s">
        <v>32</v>
      </c>
      <c r="N108" s="22" t="s">
        <v>32</v>
      </c>
      <c r="O108" s="23" t="s">
        <v>849</v>
      </c>
      <c r="P108" s="23" t="s">
        <v>185</v>
      </c>
      <c r="Q108" s="22" t="s">
        <v>32</v>
      </c>
      <c r="R108" s="22" t="s">
        <v>32</v>
      </c>
      <c r="S108" s="22" t="s">
        <v>32</v>
      </c>
      <c r="T108" s="23" t="s">
        <v>273</v>
      </c>
      <c r="U108" s="22" t="s">
        <v>32</v>
      </c>
      <c r="V108" s="22" t="s">
        <v>32</v>
      </c>
      <c r="W108" s="23" t="s">
        <v>32</v>
      </c>
      <c r="X108" s="22" t="s">
        <v>42</v>
      </c>
      <c r="Y108" s="24" t="s">
        <v>32</v>
      </c>
      <c r="Z108" s="24">
        <v>3.1</v>
      </c>
      <c r="AA108" s="22" t="s">
        <v>186</v>
      </c>
      <c r="AB108" s="1" t="s">
        <v>518</v>
      </c>
      <c r="AC108" s="1" t="s">
        <v>876</v>
      </c>
      <c r="AD108" s="1" t="s">
        <v>877</v>
      </c>
      <c r="AE108" s="1" t="s">
        <v>878</v>
      </c>
      <c r="AF108" s="1" t="s">
        <v>879</v>
      </c>
      <c r="AG108" s="1">
        <v>45</v>
      </c>
      <c r="AH108" s="1" t="s">
        <v>880</v>
      </c>
      <c r="AI108" s="1" t="s">
        <v>524</v>
      </c>
      <c r="AJ108" s="1" t="s">
        <v>852</v>
      </c>
      <c r="AK108" s="1" t="s">
        <v>245</v>
      </c>
      <c r="AL108" s="1">
        <v>-273</v>
      </c>
      <c r="AM108" s="1" t="s">
        <v>853</v>
      </c>
      <c r="AN108" s="1" t="s">
        <v>854</v>
      </c>
      <c r="AO108" s="1" t="s">
        <v>855</v>
      </c>
      <c r="AP108" s="1" t="s">
        <v>113</v>
      </c>
      <c r="AQ108" s="1" t="s">
        <v>113</v>
      </c>
      <c r="AR108" s="1" t="s">
        <v>113</v>
      </c>
      <c r="AS108" s="1" t="s">
        <v>113</v>
      </c>
      <c r="AT108" s="1" t="s">
        <v>57</v>
      </c>
      <c r="AU108" s="1"/>
    </row>
    <row r="109" spans="2:47" ht="18" customHeight="1" x14ac:dyDescent="0.2">
      <c r="B109" s="16" t="s">
        <v>1309</v>
      </c>
      <c r="C109" s="1" t="s">
        <v>1385</v>
      </c>
      <c r="D109" s="22" t="s">
        <v>502</v>
      </c>
      <c r="E109" s="22" t="s">
        <v>32</v>
      </c>
      <c r="F109" s="22" t="s">
        <v>881</v>
      </c>
      <c r="G109" s="23" t="s">
        <v>32</v>
      </c>
      <c r="H109" s="23" t="s">
        <v>32</v>
      </c>
      <c r="I109" s="23" t="s">
        <v>32</v>
      </c>
      <c r="J109" s="23" t="s">
        <v>59</v>
      </c>
      <c r="K109" s="22" t="s">
        <v>59</v>
      </c>
      <c r="L109" s="22" t="s">
        <v>550</v>
      </c>
      <c r="M109" s="22" t="s">
        <v>32</v>
      </c>
      <c r="N109" s="22" t="s">
        <v>32</v>
      </c>
      <c r="O109" s="23" t="s">
        <v>273</v>
      </c>
      <c r="P109" s="23" t="s">
        <v>882</v>
      </c>
      <c r="Q109" s="22" t="s">
        <v>32</v>
      </c>
      <c r="R109" s="22" t="s">
        <v>32</v>
      </c>
      <c r="S109" s="22" t="s">
        <v>32</v>
      </c>
      <c r="T109" s="23" t="s">
        <v>98</v>
      </c>
      <c r="U109" s="22" t="s">
        <v>32</v>
      </c>
      <c r="V109" s="22" t="s">
        <v>32</v>
      </c>
      <c r="W109" s="23" t="s">
        <v>32</v>
      </c>
      <c r="X109" s="22" t="s">
        <v>167</v>
      </c>
      <c r="Y109" s="22" t="s">
        <v>32</v>
      </c>
      <c r="Z109" s="22">
        <v>2.4</v>
      </c>
      <c r="AA109" s="22" t="s">
        <v>883</v>
      </c>
      <c r="AB109" s="1" t="s">
        <v>884</v>
      </c>
      <c r="AC109" s="1" t="s">
        <v>376</v>
      </c>
      <c r="AD109" s="1" t="s">
        <v>885</v>
      </c>
      <c r="AE109" s="1" t="s">
        <v>886</v>
      </c>
      <c r="AF109" s="1" t="s">
        <v>887</v>
      </c>
      <c r="AG109" s="1">
        <v>45</v>
      </c>
      <c r="AH109" s="1" t="s">
        <v>888</v>
      </c>
      <c r="AI109" s="1" t="s">
        <v>889</v>
      </c>
      <c r="AJ109" s="1" t="s">
        <v>890</v>
      </c>
      <c r="AK109" s="1" t="s">
        <v>245</v>
      </c>
      <c r="AL109" s="1">
        <v>-273</v>
      </c>
      <c r="AM109" s="1" t="s">
        <v>891</v>
      </c>
      <c r="AN109" s="1" t="s">
        <v>892</v>
      </c>
      <c r="AO109" s="1" t="s">
        <v>620</v>
      </c>
      <c r="AP109" s="1" t="s">
        <v>113</v>
      </c>
      <c r="AQ109" s="1" t="s">
        <v>113</v>
      </c>
      <c r="AR109" s="1" t="s">
        <v>113</v>
      </c>
      <c r="AS109" s="1" t="s">
        <v>113</v>
      </c>
      <c r="AT109" s="1" t="s">
        <v>57</v>
      </c>
      <c r="AU109" s="1"/>
    </row>
    <row r="110" spans="2:47" ht="18" customHeight="1" x14ac:dyDescent="0.2">
      <c r="B110" s="16" t="s">
        <v>1354</v>
      </c>
      <c r="C110" s="1" t="s">
        <v>1386</v>
      </c>
      <c r="D110" s="22" t="s">
        <v>893</v>
      </c>
      <c r="E110" s="22" t="s">
        <v>32</v>
      </c>
      <c r="F110" s="22" t="s">
        <v>881</v>
      </c>
      <c r="G110" s="23" t="s">
        <v>32</v>
      </c>
      <c r="H110" s="23" t="s">
        <v>32</v>
      </c>
      <c r="I110" s="23" t="s">
        <v>32</v>
      </c>
      <c r="J110" s="23" t="s">
        <v>59</v>
      </c>
      <c r="K110" s="22" t="s">
        <v>59</v>
      </c>
      <c r="L110" s="22" t="s">
        <v>550</v>
      </c>
      <c r="M110" s="22" t="s">
        <v>32</v>
      </c>
      <c r="N110" s="22" t="s">
        <v>32</v>
      </c>
      <c r="O110" s="23" t="s">
        <v>273</v>
      </c>
      <c r="P110" s="23" t="s">
        <v>882</v>
      </c>
      <c r="Q110" s="22" t="s">
        <v>32</v>
      </c>
      <c r="R110" s="22" t="s">
        <v>32</v>
      </c>
      <c r="S110" s="22" t="s">
        <v>32</v>
      </c>
      <c r="T110" s="23" t="s">
        <v>98</v>
      </c>
      <c r="U110" s="22" t="s">
        <v>32</v>
      </c>
      <c r="V110" s="22" t="s">
        <v>32</v>
      </c>
      <c r="W110" s="23" t="s">
        <v>32</v>
      </c>
      <c r="X110" s="22" t="s">
        <v>167</v>
      </c>
      <c r="Y110" s="22" t="s">
        <v>32</v>
      </c>
      <c r="Z110" s="22">
        <v>2.4</v>
      </c>
      <c r="AA110" s="22" t="s">
        <v>883</v>
      </c>
      <c r="AB110" s="1" t="s">
        <v>884</v>
      </c>
      <c r="AC110" s="1" t="s">
        <v>894</v>
      </c>
      <c r="AD110" s="1" t="s">
        <v>358</v>
      </c>
      <c r="AE110" s="1" t="s">
        <v>895</v>
      </c>
      <c r="AF110" s="1" t="s">
        <v>615</v>
      </c>
      <c r="AG110" s="1">
        <v>58</v>
      </c>
      <c r="AH110" s="1" t="s">
        <v>896</v>
      </c>
      <c r="AI110" s="1" t="s">
        <v>889</v>
      </c>
      <c r="AJ110" s="1" t="s">
        <v>890</v>
      </c>
      <c r="AK110" s="1" t="s">
        <v>245</v>
      </c>
      <c r="AL110" s="1">
        <v>-273</v>
      </c>
      <c r="AM110" s="1" t="s">
        <v>891</v>
      </c>
      <c r="AN110" s="1" t="s">
        <v>892</v>
      </c>
      <c r="AO110" s="1" t="s">
        <v>620</v>
      </c>
      <c r="AP110" s="1" t="s">
        <v>113</v>
      </c>
      <c r="AQ110" s="1" t="s">
        <v>113</v>
      </c>
      <c r="AR110" s="1" t="s">
        <v>113</v>
      </c>
      <c r="AS110" s="1" t="s">
        <v>113</v>
      </c>
      <c r="AT110" s="1" t="s">
        <v>57</v>
      </c>
      <c r="AU110" s="1"/>
    </row>
    <row r="111" spans="2:47" ht="18" customHeight="1" x14ac:dyDescent="0.2">
      <c r="B111" s="16" t="s">
        <v>1309</v>
      </c>
      <c r="C111" s="1" t="s">
        <v>1386</v>
      </c>
      <c r="D111" s="22" t="s">
        <v>481</v>
      </c>
      <c r="E111" s="22" t="s">
        <v>32</v>
      </c>
      <c r="F111" s="22" t="s">
        <v>881</v>
      </c>
      <c r="G111" s="23" t="s">
        <v>32</v>
      </c>
      <c r="H111" s="23" t="s">
        <v>32</v>
      </c>
      <c r="I111" s="23" t="s">
        <v>32</v>
      </c>
      <c r="J111" s="23" t="s">
        <v>59</v>
      </c>
      <c r="K111" s="22" t="s">
        <v>59</v>
      </c>
      <c r="L111" s="22" t="s">
        <v>550</v>
      </c>
      <c r="M111" s="22" t="s">
        <v>32</v>
      </c>
      <c r="N111" s="22" t="s">
        <v>32</v>
      </c>
      <c r="O111" s="23" t="s">
        <v>273</v>
      </c>
      <c r="P111" s="23" t="s">
        <v>882</v>
      </c>
      <c r="Q111" s="22" t="s">
        <v>32</v>
      </c>
      <c r="R111" s="22" t="s">
        <v>32</v>
      </c>
      <c r="S111" s="22" t="s">
        <v>32</v>
      </c>
      <c r="T111" s="23" t="s">
        <v>98</v>
      </c>
      <c r="U111" s="22" t="s">
        <v>32</v>
      </c>
      <c r="V111" s="22" t="s">
        <v>32</v>
      </c>
      <c r="W111" s="23" t="s">
        <v>32</v>
      </c>
      <c r="X111" s="22" t="s">
        <v>167</v>
      </c>
      <c r="Y111" s="22" t="s">
        <v>32</v>
      </c>
      <c r="Z111" s="22">
        <v>2.4</v>
      </c>
      <c r="AA111" s="22" t="s">
        <v>883</v>
      </c>
      <c r="AB111" s="1" t="s">
        <v>884</v>
      </c>
      <c r="AC111" s="1" t="s">
        <v>887</v>
      </c>
      <c r="AD111" s="1" t="s">
        <v>190</v>
      </c>
      <c r="AE111" s="1" t="s">
        <v>538</v>
      </c>
      <c r="AF111" s="1" t="s">
        <v>897</v>
      </c>
      <c r="AG111" s="1">
        <v>27</v>
      </c>
      <c r="AH111" s="1" t="s">
        <v>898</v>
      </c>
      <c r="AI111" s="1" t="s">
        <v>889</v>
      </c>
      <c r="AJ111" s="1" t="s">
        <v>890</v>
      </c>
      <c r="AK111" s="1" t="s">
        <v>245</v>
      </c>
      <c r="AL111" s="1">
        <v>-273</v>
      </c>
      <c r="AM111" s="1" t="s">
        <v>891</v>
      </c>
      <c r="AN111" s="1" t="s">
        <v>892</v>
      </c>
      <c r="AO111" s="1" t="s">
        <v>620</v>
      </c>
      <c r="AP111" s="1" t="s">
        <v>113</v>
      </c>
      <c r="AQ111" s="1" t="s">
        <v>113</v>
      </c>
      <c r="AR111" s="1" t="s">
        <v>113</v>
      </c>
      <c r="AS111" s="1" t="s">
        <v>113</v>
      </c>
      <c r="AT111" s="1" t="s">
        <v>57</v>
      </c>
      <c r="AU111" s="1"/>
    </row>
    <row r="112" spans="2:47" ht="18" customHeight="1" x14ac:dyDescent="0.2">
      <c r="B112" s="16" t="s">
        <v>1355</v>
      </c>
      <c r="C112" s="1" t="s">
        <v>1387</v>
      </c>
      <c r="D112" s="22" t="s">
        <v>502</v>
      </c>
      <c r="E112" s="22" t="s">
        <v>32</v>
      </c>
      <c r="F112" s="22" t="s">
        <v>899</v>
      </c>
      <c r="G112" s="23" t="s">
        <v>32</v>
      </c>
      <c r="H112" s="23" t="s">
        <v>32</v>
      </c>
      <c r="I112" s="23" t="s">
        <v>32</v>
      </c>
      <c r="J112" s="23" t="s">
        <v>167</v>
      </c>
      <c r="K112" s="22" t="s">
        <v>273</v>
      </c>
      <c r="L112" s="22" t="s">
        <v>550</v>
      </c>
      <c r="M112" s="22" t="s">
        <v>32</v>
      </c>
      <c r="N112" s="22" t="s">
        <v>32</v>
      </c>
      <c r="O112" s="23" t="s">
        <v>553</v>
      </c>
      <c r="P112" s="23" t="s">
        <v>686</v>
      </c>
      <c r="Q112" s="22" t="s">
        <v>32</v>
      </c>
      <c r="R112" s="22" t="s">
        <v>32</v>
      </c>
      <c r="S112" s="22" t="s">
        <v>32</v>
      </c>
      <c r="T112" s="23" t="s">
        <v>182</v>
      </c>
      <c r="U112" s="22" t="s">
        <v>32</v>
      </c>
      <c r="V112" s="22" t="s">
        <v>59</v>
      </c>
      <c r="W112" s="23" t="s">
        <v>32</v>
      </c>
      <c r="X112" s="22" t="s">
        <v>468</v>
      </c>
      <c r="Y112" s="22" t="s">
        <v>32</v>
      </c>
      <c r="Z112" s="22">
        <v>3.4</v>
      </c>
      <c r="AA112" s="22" t="s">
        <v>386</v>
      </c>
      <c r="AB112" s="1" t="s">
        <v>471</v>
      </c>
      <c r="AC112" s="1" t="s">
        <v>276</v>
      </c>
      <c r="AD112" s="1" t="s">
        <v>894</v>
      </c>
      <c r="AE112" s="1" t="s">
        <v>900</v>
      </c>
      <c r="AF112" s="1" t="s">
        <v>901</v>
      </c>
      <c r="AG112" s="1">
        <v>48</v>
      </c>
      <c r="AH112" s="1" t="s">
        <v>902</v>
      </c>
      <c r="AI112" s="1" t="s">
        <v>889</v>
      </c>
      <c r="AJ112" s="1" t="s">
        <v>903</v>
      </c>
      <c r="AK112" s="1" t="s">
        <v>245</v>
      </c>
      <c r="AL112" s="1">
        <v>-273</v>
      </c>
      <c r="AM112" s="1" t="s">
        <v>904</v>
      </c>
      <c r="AN112" s="1" t="s">
        <v>892</v>
      </c>
      <c r="AO112" s="1" t="s">
        <v>497</v>
      </c>
      <c r="AP112" s="1" t="s">
        <v>137</v>
      </c>
      <c r="AQ112" s="1" t="s">
        <v>113</v>
      </c>
      <c r="AR112" s="1" t="s">
        <v>137</v>
      </c>
      <c r="AS112" s="1" t="s">
        <v>113</v>
      </c>
      <c r="AT112" s="1" t="s">
        <v>57</v>
      </c>
      <c r="AU112" s="1"/>
    </row>
    <row r="113" spans="2:47" ht="18" customHeight="1" x14ac:dyDescent="0.2">
      <c r="B113" s="16" t="s">
        <v>1355</v>
      </c>
      <c r="C113" s="1" t="s">
        <v>1387</v>
      </c>
      <c r="D113" s="22" t="s">
        <v>893</v>
      </c>
      <c r="E113" s="22" t="s">
        <v>32</v>
      </c>
      <c r="F113" s="22" t="s">
        <v>899</v>
      </c>
      <c r="G113" s="23" t="s">
        <v>32</v>
      </c>
      <c r="H113" s="23" t="s">
        <v>32</v>
      </c>
      <c r="I113" s="23" t="s">
        <v>32</v>
      </c>
      <c r="J113" s="23" t="s">
        <v>167</v>
      </c>
      <c r="K113" s="22" t="s">
        <v>273</v>
      </c>
      <c r="L113" s="22" t="s">
        <v>550</v>
      </c>
      <c r="M113" s="22" t="s">
        <v>32</v>
      </c>
      <c r="N113" s="22" t="s">
        <v>32</v>
      </c>
      <c r="O113" s="23" t="s">
        <v>553</v>
      </c>
      <c r="P113" s="23" t="s">
        <v>686</v>
      </c>
      <c r="Q113" s="22" t="s">
        <v>32</v>
      </c>
      <c r="R113" s="22" t="s">
        <v>32</v>
      </c>
      <c r="S113" s="22" t="s">
        <v>32</v>
      </c>
      <c r="T113" s="23" t="s">
        <v>182</v>
      </c>
      <c r="U113" s="22" t="s">
        <v>32</v>
      </c>
      <c r="V113" s="22" t="s">
        <v>59</v>
      </c>
      <c r="W113" s="23" t="s">
        <v>32</v>
      </c>
      <c r="X113" s="22" t="s">
        <v>468</v>
      </c>
      <c r="Y113" s="22" t="s">
        <v>32</v>
      </c>
      <c r="Z113" s="22">
        <v>3.4</v>
      </c>
      <c r="AA113" s="22" t="s">
        <v>386</v>
      </c>
      <c r="AB113" s="1" t="s">
        <v>471</v>
      </c>
      <c r="AC113" s="1" t="s">
        <v>905</v>
      </c>
      <c r="AD113" s="1" t="s">
        <v>906</v>
      </c>
      <c r="AE113" s="1" t="s">
        <v>900</v>
      </c>
      <c r="AF113" s="1" t="s">
        <v>907</v>
      </c>
      <c r="AG113" s="1">
        <v>62</v>
      </c>
      <c r="AH113" s="1" t="s">
        <v>908</v>
      </c>
      <c r="AI113" s="1" t="s">
        <v>889</v>
      </c>
      <c r="AJ113" s="1" t="s">
        <v>903</v>
      </c>
      <c r="AK113" s="1" t="s">
        <v>245</v>
      </c>
      <c r="AL113" s="1">
        <v>-273</v>
      </c>
      <c r="AM113" s="1" t="s">
        <v>904</v>
      </c>
      <c r="AN113" s="1" t="s">
        <v>892</v>
      </c>
      <c r="AO113" s="1" t="s">
        <v>497</v>
      </c>
      <c r="AP113" s="1" t="s">
        <v>137</v>
      </c>
      <c r="AQ113" s="1" t="s">
        <v>113</v>
      </c>
      <c r="AR113" s="1" t="s">
        <v>137</v>
      </c>
      <c r="AS113" s="1" t="s">
        <v>113</v>
      </c>
      <c r="AT113" s="1" t="s">
        <v>57</v>
      </c>
      <c r="AU113" s="1"/>
    </row>
    <row r="114" spans="2:47" ht="18" customHeight="1" x14ac:dyDescent="0.2">
      <c r="B114" s="16" t="s">
        <v>1355</v>
      </c>
      <c r="C114" s="1" t="s">
        <v>1387</v>
      </c>
      <c r="D114" s="22" t="s">
        <v>481</v>
      </c>
      <c r="E114" s="22" t="s">
        <v>32</v>
      </c>
      <c r="F114" s="22" t="s">
        <v>899</v>
      </c>
      <c r="G114" s="23" t="s">
        <v>32</v>
      </c>
      <c r="H114" s="23" t="s">
        <v>32</v>
      </c>
      <c r="I114" s="23" t="s">
        <v>32</v>
      </c>
      <c r="J114" s="23" t="s">
        <v>167</v>
      </c>
      <c r="K114" s="22" t="s">
        <v>273</v>
      </c>
      <c r="L114" s="22" t="s">
        <v>550</v>
      </c>
      <c r="M114" s="22" t="s">
        <v>32</v>
      </c>
      <c r="N114" s="22" t="s">
        <v>32</v>
      </c>
      <c r="O114" s="23" t="s">
        <v>553</v>
      </c>
      <c r="P114" s="23" t="s">
        <v>686</v>
      </c>
      <c r="Q114" s="22" t="s">
        <v>32</v>
      </c>
      <c r="R114" s="22" t="s">
        <v>32</v>
      </c>
      <c r="S114" s="22" t="s">
        <v>32</v>
      </c>
      <c r="T114" s="23" t="s">
        <v>182</v>
      </c>
      <c r="U114" s="22" t="s">
        <v>32</v>
      </c>
      <c r="V114" s="22" t="s">
        <v>59</v>
      </c>
      <c r="W114" s="23" t="s">
        <v>32</v>
      </c>
      <c r="X114" s="22" t="s">
        <v>468</v>
      </c>
      <c r="Y114" s="22" t="s">
        <v>32</v>
      </c>
      <c r="Z114" s="22">
        <v>3.4</v>
      </c>
      <c r="AA114" s="22" t="s">
        <v>386</v>
      </c>
      <c r="AB114" s="1" t="s">
        <v>471</v>
      </c>
      <c r="AC114" s="1" t="s">
        <v>909</v>
      </c>
      <c r="AD114" s="1" t="s">
        <v>106</v>
      </c>
      <c r="AE114" s="1" t="s">
        <v>910</v>
      </c>
      <c r="AF114" s="1" t="s">
        <v>911</v>
      </c>
      <c r="AG114" s="1">
        <v>29</v>
      </c>
      <c r="AH114" s="1" t="s">
        <v>912</v>
      </c>
      <c r="AI114" s="1" t="s">
        <v>889</v>
      </c>
      <c r="AJ114" s="1" t="s">
        <v>903</v>
      </c>
      <c r="AK114" s="1" t="s">
        <v>245</v>
      </c>
      <c r="AL114" s="1">
        <v>-273</v>
      </c>
      <c r="AM114" s="1" t="s">
        <v>904</v>
      </c>
      <c r="AN114" s="1" t="s">
        <v>892</v>
      </c>
      <c r="AO114" s="1" t="s">
        <v>497</v>
      </c>
      <c r="AP114" s="1" t="s">
        <v>137</v>
      </c>
      <c r="AQ114" s="1" t="s">
        <v>113</v>
      </c>
      <c r="AR114" s="1" t="s">
        <v>137</v>
      </c>
      <c r="AS114" s="1" t="s">
        <v>113</v>
      </c>
      <c r="AT114" s="1" t="s">
        <v>57</v>
      </c>
      <c r="AU114" s="1"/>
    </row>
    <row r="115" spans="2:47" ht="18" customHeight="1" x14ac:dyDescent="0.2">
      <c r="B115" s="16" t="s">
        <v>1356</v>
      </c>
      <c r="C115" s="1" t="s">
        <v>1388</v>
      </c>
      <c r="D115" s="22" t="s">
        <v>502</v>
      </c>
      <c r="E115" s="22" t="s">
        <v>32</v>
      </c>
      <c r="F115" s="22" t="s">
        <v>913</v>
      </c>
      <c r="G115" s="23" t="s">
        <v>32</v>
      </c>
      <c r="H115" s="23" t="s">
        <v>32</v>
      </c>
      <c r="I115" s="23" t="s">
        <v>32</v>
      </c>
      <c r="J115" s="23" t="s">
        <v>59</v>
      </c>
      <c r="K115" s="22" t="s">
        <v>167</v>
      </c>
      <c r="L115" s="22" t="s">
        <v>550</v>
      </c>
      <c r="M115" s="22" t="s">
        <v>32</v>
      </c>
      <c r="N115" s="22" t="s">
        <v>32</v>
      </c>
      <c r="O115" s="23" t="s">
        <v>401</v>
      </c>
      <c r="P115" s="23" t="s">
        <v>167</v>
      </c>
      <c r="Q115" s="22" t="s">
        <v>32</v>
      </c>
      <c r="R115" s="22" t="s">
        <v>32</v>
      </c>
      <c r="S115" s="22" t="s">
        <v>32</v>
      </c>
      <c r="T115" s="23" t="s">
        <v>273</v>
      </c>
      <c r="U115" s="22" t="s">
        <v>32</v>
      </c>
      <c r="V115" s="22" t="s">
        <v>32</v>
      </c>
      <c r="W115" s="23" t="s">
        <v>32</v>
      </c>
      <c r="X115" s="22" t="s">
        <v>42</v>
      </c>
      <c r="Y115" s="22" t="s">
        <v>32</v>
      </c>
      <c r="Z115" s="22">
        <v>1.4</v>
      </c>
      <c r="AA115" s="22" t="s">
        <v>914</v>
      </c>
      <c r="AB115" s="1" t="s">
        <v>884</v>
      </c>
      <c r="AC115" s="1" t="s">
        <v>396</v>
      </c>
      <c r="AD115" s="1" t="s">
        <v>264</v>
      </c>
      <c r="AE115" s="1" t="s">
        <v>915</v>
      </c>
      <c r="AF115" s="1" t="s">
        <v>493</v>
      </c>
      <c r="AG115" s="1">
        <v>48</v>
      </c>
      <c r="AH115" s="1" t="s">
        <v>916</v>
      </c>
      <c r="AI115" s="1" t="s">
        <v>476</v>
      </c>
      <c r="AJ115" s="1" t="s">
        <v>917</v>
      </c>
      <c r="AK115" s="1" t="s">
        <v>245</v>
      </c>
      <c r="AL115" s="1">
        <v>-273</v>
      </c>
      <c r="AM115" s="1" t="s">
        <v>918</v>
      </c>
      <c r="AN115" s="1" t="s">
        <v>919</v>
      </c>
      <c r="AO115" s="1" t="s">
        <v>480</v>
      </c>
      <c r="AP115" s="1" t="s">
        <v>137</v>
      </c>
      <c r="AQ115" s="1" t="s">
        <v>113</v>
      </c>
      <c r="AR115" s="1" t="s">
        <v>137</v>
      </c>
      <c r="AS115" s="1" t="s">
        <v>137</v>
      </c>
      <c r="AT115" s="1" t="s">
        <v>57</v>
      </c>
      <c r="AU115" s="1"/>
    </row>
    <row r="116" spans="2:47" ht="18" customHeight="1" x14ac:dyDescent="0.2">
      <c r="B116" s="16" t="s">
        <v>1356</v>
      </c>
      <c r="C116" s="1" t="s">
        <v>1388</v>
      </c>
      <c r="D116" s="22" t="s">
        <v>920</v>
      </c>
      <c r="E116" s="22" t="s">
        <v>32</v>
      </c>
      <c r="F116" s="22" t="s">
        <v>913</v>
      </c>
      <c r="G116" s="23" t="s">
        <v>32</v>
      </c>
      <c r="H116" s="23" t="s">
        <v>32</v>
      </c>
      <c r="I116" s="23" t="s">
        <v>32</v>
      </c>
      <c r="J116" s="23" t="s">
        <v>59</v>
      </c>
      <c r="K116" s="22" t="s">
        <v>167</v>
      </c>
      <c r="L116" s="22" t="s">
        <v>550</v>
      </c>
      <c r="M116" s="22" t="s">
        <v>32</v>
      </c>
      <c r="N116" s="22" t="s">
        <v>32</v>
      </c>
      <c r="O116" s="23" t="s">
        <v>401</v>
      </c>
      <c r="P116" s="23" t="s">
        <v>167</v>
      </c>
      <c r="Q116" s="22" t="s">
        <v>32</v>
      </c>
      <c r="R116" s="22" t="s">
        <v>32</v>
      </c>
      <c r="S116" s="22" t="s">
        <v>32</v>
      </c>
      <c r="T116" s="23" t="s">
        <v>273</v>
      </c>
      <c r="U116" s="22" t="s">
        <v>32</v>
      </c>
      <c r="V116" s="22" t="s">
        <v>32</v>
      </c>
      <c r="W116" s="23" t="s">
        <v>32</v>
      </c>
      <c r="X116" s="22" t="s">
        <v>42</v>
      </c>
      <c r="Y116" s="22" t="s">
        <v>32</v>
      </c>
      <c r="Z116" s="22">
        <v>1.4</v>
      </c>
      <c r="AA116" s="22" t="s">
        <v>914</v>
      </c>
      <c r="AB116" s="1" t="s">
        <v>884</v>
      </c>
      <c r="AC116" s="1" t="s">
        <v>103</v>
      </c>
      <c r="AD116" s="1" t="s">
        <v>894</v>
      </c>
      <c r="AE116" s="1" t="s">
        <v>921</v>
      </c>
      <c r="AF116" s="1" t="s">
        <v>490</v>
      </c>
      <c r="AG116" s="1">
        <v>52</v>
      </c>
      <c r="AH116" s="1" t="s">
        <v>922</v>
      </c>
      <c r="AI116" s="1" t="s">
        <v>476</v>
      </c>
      <c r="AJ116" s="1" t="s">
        <v>917</v>
      </c>
      <c r="AK116" s="1" t="s">
        <v>245</v>
      </c>
      <c r="AL116" s="1">
        <v>-273</v>
      </c>
      <c r="AM116" s="1" t="s">
        <v>918</v>
      </c>
      <c r="AN116" s="1" t="s">
        <v>919</v>
      </c>
      <c r="AO116" s="1" t="s">
        <v>480</v>
      </c>
      <c r="AP116" s="1" t="s">
        <v>137</v>
      </c>
      <c r="AQ116" s="1" t="s">
        <v>113</v>
      </c>
      <c r="AR116" s="1" t="s">
        <v>137</v>
      </c>
      <c r="AS116" s="1" t="s">
        <v>137</v>
      </c>
      <c r="AT116" s="1" t="s">
        <v>57</v>
      </c>
      <c r="AU116" s="1"/>
    </row>
    <row r="117" spans="2:47" ht="18" customHeight="1" x14ac:dyDescent="0.2">
      <c r="B117" s="16" t="s">
        <v>1356</v>
      </c>
      <c r="C117" s="1" t="s">
        <v>1388</v>
      </c>
      <c r="D117" s="22" t="s">
        <v>481</v>
      </c>
      <c r="E117" s="22" t="s">
        <v>32</v>
      </c>
      <c r="F117" s="22" t="s">
        <v>913</v>
      </c>
      <c r="G117" s="23" t="s">
        <v>32</v>
      </c>
      <c r="H117" s="23" t="s">
        <v>32</v>
      </c>
      <c r="I117" s="23" t="s">
        <v>32</v>
      </c>
      <c r="J117" s="23" t="s">
        <v>59</v>
      </c>
      <c r="K117" s="22" t="s">
        <v>167</v>
      </c>
      <c r="L117" s="22" t="s">
        <v>550</v>
      </c>
      <c r="M117" s="22" t="s">
        <v>32</v>
      </c>
      <c r="N117" s="22" t="s">
        <v>32</v>
      </c>
      <c r="O117" s="23" t="s">
        <v>401</v>
      </c>
      <c r="P117" s="23" t="s">
        <v>167</v>
      </c>
      <c r="Q117" s="22" t="s">
        <v>32</v>
      </c>
      <c r="R117" s="22" t="s">
        <v>32</v>
      </c>
      <c r="S117" s="22" t="s">
        <v>32</v>
      </c>
      <c r="T117" s="23" t="s">
        <v>273</v>
      </c>
      <c r="U117" s="22" t="s">
        <v>32</v>
      </c>
      <c r="V117" s="22" t="s">
        <v>32</v>
      </c>
      <c r="W117" s="23" t="s">
        <v>32</v>
      </c>
      <c r="X117" s="22" t="s">
        <v>42</v>
      </c>
      <c r="Y117" s="22" t="s">
        <v>32</v>
      </c>
      <c r="Z117" s="22">
        <v>1.4</v>
      </c>
      <c r="AA117" s="22" t="s">
        <v>914</v>
      </c>
      <c r="AB117" s="1" t="s">
        <v>884</v>
      </c>
      <c r="AC117" s="1" t="s">
        <v>887</v>
      </c>
      <c r="AD117" s="1" t="s">
        <v>562</v>
      </c>
      <c r="AE117" s="1" t="s">
        <v>281</v>
      </c>
      <c r="AF117" s="1" t="s">
        <v>923</v>
      </c>
      <c r="AG117" s="1">
        <v>28</v>
      </c>
      <c r="AH117" s="1" t="s">
        <v>898</v>
      </c>
      <c r="AI117" s="1" t="s">
        <v>476</v>
      </c>
      <c r="AJ117" s="1" t="s">
        <v>917</v>
      </c>
      <c r="AK117" s="1" t="s">
        <v>245</v>
      </c>
      <c r="AL117" s="1">
        <v>-273</v>
      </c>
      <c r="AM117" s="1" t="s">
        <v>918</v>
      </c>
      <c r="AN117" s="1" t="s">
        <v>919</v>
      </c>
      <c r="AO117" s="1" t="s">
        <v>480</v>
      </c>
      <c r="AP117" s="1" t="s">
        <v>137</v>
      </c>
      <c r="AQ117" s="1" t="s">
        <v>113</v>
      </c>
      <c r="AR117" s="1" t="s">
        <v>137</v>
      </c>
      <c r="AS117" s="1" t="s">
        <v>137</v>
      </c>
      <c r="AT117" s="1" t="s">
        <v>57</v>
      </c>
      <c r="AU117" s="1"/>
    </row>
    <row r="118" spans="2:47" ht="18" customHeight="1" x14ac:dyDescent="0.2">
      <c r="B118" s="16" t="s">
        <v>1357</v>
      </c>
      <c r="C118" s="1" t="s">
        <v>1389</v>
      </c>
      <c r="D118" s="22" t="s">
        <v>847</v>
      </c>
      <c r="E118" s="22" t="s">
        <v>32</v>
      </c>
      <c r="F118" s="22" t="s">
        <v>924</v>
      </c>
      <c r="G118" s="23" t="s">
        <v>32</v>
      </c>
      <c r="H118" s="23" t="s">
        <v>32</v>
      </c>
      <c r="I118" s="23" t="s">
        <v>32</v>
      </c>
      <c r="J118" s="23" t="s">
        <v>62</v>
      </c>
      <c r="K118" s="22" t="s">
        <v>59</v>
      </c>
      <c r="L118" s="22" t="s">
        <v>468</v>
      </c>
      <c r="M118" s="22" t="s">
        <v>32</v>
      </c>
      <c r="N118" s="22" t="s">
        <v>32</v>
      </c>
      <c r="O118" s="23" t="s">
        <v>925</v>
      </c>
      <c r="P118" s="23" t="s">
        <v>59</v>
      </c>
      <c r="Q118" s="22" t="s">
        <v>32</v>
      </c>
      <c r="R118" s="22" t="s">
        <v>32</v>
      </c>
      <c r="S118" s="22" t="s">
        <v>32</v>
      </c>
      <c r="T118" s="23" t="s">
        <v>42</v>
      </c>
      <c r="U118" s="22" t="s">
        <v>32</v>
      </c>
      <c r="V118" s="22" t="s">
        <v>32</v>
      </c>
      <c r="W118" s="23" t="s">
        <v>32</v>
      </c>
      <c r="X118" s="22" t="s">
        <v>59</v>
      </c>
      <c r="Y118" s="22" t="s">
        <v>32</v>
      </c>
      <c r="Z118" s="22">
        <v>3.5</v>
      </c>
      <c r="AA118" s="22" t="s">
        <v>327</v>
      </c>
      <c r="AB118" s="1" t="s">
        <v>518</v>
      </c>
      <c r="AC118" s="1" t="s">
        <v>926</v>
      </c>
      <c r="AD118" s="1" t="s">
        <v>927</v>
      </c>
      <c r="AE118" s="1" t="s">
        <v>928</v>
      </c>
      <c r="AF118" s="1" t="s">
        <v>929</v>
      </c>
      <c r="AG118" s="1">
        <v>46</v>
      </c>
      <c r="AH118" s="1" t="s">
        <v>930</v>
      </c>
      <c r="AI118" s="1" t="s">
        <v>524</v>
      </c>
      <c r="AJ118" s="1" t="s">
        <v>541</v>
      </c>
      <c r="AK118" s="1" t="s">
        <v>74</v>
      </c>
      <c r="AL118" s="1">
        <v>-273</v>
      </c>
      <c r="AM118" s="1" t="s">
        <v>931</v>
      </c>
      <c r="AN118" s="1" t="s">
        <v>932</v>
      </c>
      <c r="AO118" s="1" t="s">
        <v>933</v>
      </c>
      <c r="AP118" s="1" t="s">
        <v>113</v>
      </c>
      <c r="AQ118" s="1" t="s">
        <v>113</v>
      </c>
      <c r="AR118" s="1" t="s">
        <v>113</v>
      </c>
      <c r="AS118" s="1" t="s">
        <v>113</v>
      </c>
      <c r="AT118" s="1" t="s">
        <v>57</v>
      </c>
      <c r="AU118" s="1"/>
    </row>
    <row r="119" spans="2:47" ht="18" customHeight="1" x14ac:dyDescent="0.2">
      <c r="B119" s="16" t="s">
        <v>1357</v>
      </c>
      <c r="C119" s="1" t="s">
        <v>1390</v>
      </c>
      <c r="D119" s="22" t="s">
        <v>467</v>
      </c>
      <c r="E119" s="22" t="s">
        <v>32</v>
      </c>
      <c r="F119" s="22" t="s">
        <v>924</v>
      </c>
      <c r="G119" s="23" t="s">
        <v>32</v>
      </c>
      <c r="H119" s="23" t="s">
        <v>32</v>
      </c>
      <c r="I119" s="23" t="s">
        <v>32</v>
      </c>
      <c r="J119" s="23" t="s">
        <v>62</v>
      </c>
      <c r="K119" s="22" t="s">
        <v>59</v>
      </c>
      <c r="L119" s="22" t="s">
        <v>468</v>
      </c>
      <c r="M119" s="22" t="s">
        <v>32</v>
      </c>
      <c r="N119" s="22" t="s">
        <v>32</v>
      </c>
      <c r="O119" s="23" t="s">
        <v>925</v>
      </c>
      <c r="P119" s="23" t="s">
        <v>59</v>
      </c>
      <c r="Q119" s="22" t="s">
        <v>32</v>
      </c>
      <c r="R119" s="22" t="s">
        <v>32</v>
      </c>
      <c r="S119" s="22" t="s">
        <v>32</v>
      </c>
      <c r="T119" s="23" t="s">
        <v>42</v>
      </c>
      <c r="U119" s="22" t="s">
        <v>32</v>
      </c>
      <c r="V119" s="22" t="s">
        <v>32</v>
      </c>
      <c r="W119" s="23" t="s">
        <v>32</v>
      </c>
      <c r="X119" s="22" t="s">
        <v>59</v>
      </c>
      <c r="Y119" s="22" t="s">
        <v>32</v>
      </c>
      <c r="Z119" s="22">
        <v>3.5</v>
      </c>
      <c r="AA119" s="22" t="s">
        <v>327</v>
      </c>
      <c r="AB119" s="1" t="s">
        <v>518</v>
      </c>
      <c r="AC119" s="1" t="s">
        <v>934</v>
      </c>
      <c r="AD119" s="1" t="s">
        <v>935</v>
      </c>
      <c r="AE119" s="1" t="s">
        <v>936</v>
      </c>
      <c r="AF119" s="1" t="s">
        <v>862</v>
      </c>
      <c r="AG119" s="1" t="s">
        <v>32</v>
      </c>
      <c r="AH119" s="1">
        <v>140</v>
      </c>
      <c r="AI119" s="1" t="s">
        <v>524</v>
      </c>
      <c r="AJ119" s="1" t="s">
        <v>541</v>
      </c>
      <c r="AK119" s="1" t="s">
        <v>74</v>
      </c>
      <c r="AL119" s="1">
        <v>-273</v>
      </c>
      <c r="AM119" s="1" t="s">
        <v>931</v>
      </c>
      <c r="AN119" s="1" t="s">
        <v>932</v>
      </c>
      <c r="AO119" s="1" t="s">
        <v>933</v>
      </c>
      <c r="AP119" s="1" t="s">
        <v>113</v>
      </c>
      <c r="AQ119" s="1" t="s">
        <v>113</v>
      </c>
      <c r="AR119" s="1" t="s">
        <v>113</v>
      </c>
      <c r="AS119" s="1" t="s">
        <v>113</v>
      </c>
      <c r="AT119" s="1" t="s">
        <v>57</v>
      </c>
      <c r="AU119" s="1"/>
    </row>
    <row r="120" spans="2:47" ht="18" customHeight="1" x14ac:dyDescent="0.2">
      <c r="B120" s="16" t="s">
        <v>1357</v>
      </c>
      <c r="C120" s="1" t="s">
        <v>1390</v>
      </c>
      <c r="D120" s="22" t="s">
        <v>937</v>
      </c>
      <c r="E120" s="22" t="s">
        <v>32</v>
      </c>
      <c r="F120" s="22" t="s">
        <v>924</v>
      </c>
      <c r="G120" s="23" t="s">
        <v>32</v>
      </c>
      <c r="H120" s="23" t="s">
        <v>32</v>
      </c>
      <c r="I120" s="23" t="s">
        <v>32</v>
      </c>
      <c r="J120" s="23" t="s">
        <v>62</v>
      </c>
      <c r="K120" s="22" t="s">
        <v>59</v>
      </c>
      <c r="L120" s="22" t="s">
        <v>468</v>
      </c>
      <c r="M120" s="22" t="s">
        <v>32</v>
      </c>
      <c r="N120" s="22" t="s">
        <v>32</v>
      </c>
      <c r="O120" s="23" t="s">
        <v>925</v>
      </c>
      <c r="P120" s="23" t="s">
        <v>59</v>
      </c>
      <c r="Q120" s="22" t="s">
        <v>32</v>
      </c>
      <c r="R120" s="22" t="s">
        <v>32</v>
      </c>
      <c r="S120" s="22" t="s">
        <v>32</v>
      </c>
      <c r="T120" s="23" t="s">
        <v>42</v>
      </c>
      <c r="U120" s="22" t="s">
        <v>32</v>
      </c>
      <c r="V120" s="22" t="s">
        <v>32</v>
      </c>
      <c r="W120" s="23" t="s">
        <v>32</v>
      </c>
      <c r="X120" s="22" t="s">
        <v>59</v>
      </c>
      <c r="Y120" s="22" t="s">
        <v>32</v>
      </c>
      <c r="Z120" s="22">
        <v>3.5</v>
      </c>
      <c r="AA120" s="22" t="s">
        <v>327</v>
      </c>
      <c r="AB120" s="1" t="s">
        <v>362</v>
      </c>
      <c r="AC120" s="1" t="s">
        <v>938</v>
      </c>
      <c r="AD120" s="1" t="s">
        <v>939</v>
      </c>
      <c r="AE120" s="1" t="s">
        <v>635</v>
      </c>
      <c r="AF120" s="1" t="s">
        <v>940</v>
      </c>
      <c r="AG120" s="1">
        <v>60</v>
      </c>
      <c r="AH120" s="1" t="s">
        <v>175</v>
      </c>
      <c r="AI120" s="1" t="s">
        <v>602</v>
      </c>
      <c r="AJ120" s="1" t="s">
        <v>941</v>
      </c>
      <c r="AK120" s="1" t="s">
        <v>74</v>
      </c>
      <c r="AL120" s="1">
        <v>-273</v>
      </c>
      <c r="AM120" s="1" t="s">
        <v>931</v>
      </c>
      <c r="AN120" s="1" t="s">
        <v>180</v>
      </c>
      <c r="AO120" s="1" t="s">
        <v>942</v>
      </c>
      <c r="AP120" s="1" t="s">
        <v>113</v>
      </c>
      <c r="AQ120" s="1" t="s">
        <v>113</v>
      </c>
      <c r="AR120" s="1" t="s">
        <v>113</v>
      </c>
      <c r="AS120" s="1" t="s">
        <v>113</v>
      </c>
      <c r="AT120" s="1" t="s">
        <v>57</v>
      </c>
      <c r="AU120" s="1"/>
    </row>
    <row r="121" spans="2:47" ht="18" customHeight="1" x14ac:dyDescent="0.2">
      <c r="B121" s="16" t="s">
        <v>1357</v>
      </c>
      <c r="C121" s="1" t="s">
        <v>1390</v>
      </c>
      <c r="D121" s="22" t="s">
        <v>984</v>
      </c>
      <c r="E121" s="22" t="s">
        <v>32</v>
      </c>
      <c r="F121" s="22" t="s">
        <v>924</v>
      </c>
      <c r="G121" s="23" t="s">
        <v>32</v>
      </c>
      <c r="H121" s="23" t="s">
        <v>32</v>
      </c>
      <c r="I121" s="23" t="s">
        <v>32</v>
      </c>
      <c r="J121" s="23" t="s">
        <v>62</v>
      </c>
      <c r="K121" s="22" t="s">
        <v>59</v>
      </c>
      <c r="L121" s="22" t="s">
        <v>468</v>
      </c>
      <c r="M121" s="22" t="s">
        <v>32</v>
      </c>
      <c r="N121" s="22" t="s">
        <v>32</v>
      </c>
      <c r="O121" s="23" t="s">
        <v>925</v>
      </c>
      <c r="P121" s="23" t="s">
        <v>59</v>
      </c>
      <c r="Q121" s="22" t="s">
        <v>32</v>
      </c>
      <c r="R121" s="22" t="s">
        <v>32</v>
      </c>
      <c r="S121" s="22" t="s">
        <v>32</v>
      </c>
      <c r="T121" s="23" t="s">
        <v>42</v>
      </c>
      <c r="U121" s="22" t="s">
        <v>32</v>
      </c>
      <c r="V121" s="22" t="s">
        <v>32</v>
      </c>
      <c r="W121" s="23" t="s">
        <v>32</v>
      </c>
      <c r="X121" s="22" t="s">
        <v>59</v>
      </c>
      <c r="Y121" s="22" t="s">
        <v>32</v>
      </c>
      <c r="Z121" s="22">
        <v>3.5</v>
      </c>
      <c r="AA121" s="22" t="s">
        <v>239</v>
      </c>
      <c r="AB121" s="1" t="s">
        <v>362</v>
      </c>
      <c r="AC121" s="1" t="s">
        <v>207</v>
      </c>
      <c r="AD121" s="1" t="s">
        <v>943</v>
      </c>
      <c r="AE121" s="1" t="s">
        <v>944</v>
      </c>
      <c r="AF121" s="1" t="s">
        <v>945</v>
      </c>
      <c r="AG121" s="1">
        <v>68</v>
      </c>
      <c r="AH121" s="1" t="s">
        <v>946</v>
      </c>
      <c r="AI121" s="1" t="s">
        <v>602</v>
      </c>
      <c r="AJ121" s="1" t="s">
        <v>941</v>
      </c>
      <c r="AK121" s="1" t="s">
        <v>74</v>
      </c>
      <c r="AL121" s="1">
        <v>-273</v>
      </c>
      <c r="AM121" s="1" t="s">
        <v>931</v>
      </c>
      <c r="AN121" s="1" t="s">
        <v>180</v>
      </c>
      <c r="AO121" s="1" t="s">
        <v>942</v>
      </c>
      <c r="AP121" s="1" t="s">
        <v>113</v>
      </c>
      <c r="AQ121" s="1" t="s">
        <v>113</v>
      </c>
      <c r="AR121" s="1" t="s">
        <v>113</v>
      </c>
      <c r="AS121" s="1" t="s">
        <v>113</v>
      </c>
      <c r="AT121" s="1" t="s">
        <v>57</v>
      </c>
      <c r="AU121" s="1"/>
    </row>
    <row r="122" spans="2:47" ht="18" customHeight="1" x14ac:dyDescent="0.2">
      <c r="B122" s="16" t="s">
        <v>1357</v>
      </c>
      <c r="C122" s="1" t="s">
        <v>1390</v>
      </c>
      <c r="D122" s="22" t="s">
        <v>985</v>
      </c>
      <c r="E122" s="22" t="s">
        <v>32</v>
      </c>
      <c r="F122" s="22" t="s">
        <v>924</v>
      </c>
      <c r="G122" s="23" t="s">
        <v>32</v>
      </c>
      <c r="H122" s="23" t="s">
        <v>32</v>
      </c>
      <c r="I122" s="23" t="s">
        <v>32</v>
      </c>
      <c r="J122" s="23" t="s">
        <v>62</v>
      </c>
      <c r="K122" s="22" t="s">
        <v>59</v>
      </c>
      <c r="L122" s="22" t="s">
        <v>468</v>
      </c>
      <c r="M122" s="22" t="s">
        <v>32</v>
      </c>
      <c r="N122" s="22" t="s">
        <v>32</v>
      </c>
      <c r="O122" s="23" t="s">
        <v>925</v>
      </c>
      <c r="P122" s="23" t="s">
        <v>59</v>
      </c>
      <c r="Q122" s="22" t="s">
        <v>32</v>
      </c>
      <c r="R122" s="22" t="s">
        <v>32</v>
      </c>
      <c r="S122" s="22" t="s">
        <v>32</v>
      </c>
      <c r="T122" s="23" t="s">
        <v>42</v>
      </c>
      <c r="U122" s="22" t="s">
        <v>32</v>
      </c>
      <c r="V122" s="22" t="s">
        <v>32</v>
      </c>
      <c r="W122" s="23" t="s">
        <v>32</v>
      </c>
      <c r="X122" s="22" t="s">
        <v>59</v>
      </c>
      <c r="Y122" s="22" t="s">
        <v>32</v>
      </c>
      <c r="Z122" s="22">
        <v>3.5</v>
      </c>
      <c r="AA122" s="22" t="s">
        <v>327</v>
      </c>
      <c r="AB122" s="1" t="s">
        <v>362</v>
      </c>
      <c r="AC122" s="1" t="s">
        <v>287</v>
      </c>
      <c r="AD122" s="1" t="s">
        <v>947</v>
      </c>
      <c r="AE122" s="1" t="s">
        <v>125</v>
      </c>
      <c r="AF122" s="1" t="s">
        <v>948</v>
      </c>
      <c r="AG122" s="1">
        <v>73</v>
      </c>
      <c r="AH122" s="1" t="s">
        <v>678</v>
      </c>
      <c r="AI122" s="1" t="s">
        <v>602</v>
      </c>
      <c r="AJ122" s="1" t="s">
        <v>941</v>
      </c>
      <c r="AK122" s="1" t="s">
        <v>74</v>
      </c>
      <c r="AL122" s="1">
        <v>-273</v>
      </c>
      <c r="AM122" s="1" t="s">
        <v>931</v>
      </c>
      <c r="AN122" s="1" t="s">
        <v>180</v>
      </c>
      <c r="AO122" s="1" t="s">
        <v>942</v>
      </c>
      <c r="AP122" s="1" t="s">
        <v>113</v>
      </c>
      <c r="AQ122" s="1" t="s">
        <v>113</v>
      </c>
      <c r="AR122" s="1" t="s">
        <v>113</v>
      </c>
      <c r="AS122" s="1" t="s">
        <v>113</v>
      </c>
      <c r="AT122" s="1" t="s">
        <v>57</v>
      </c>
      <c r="AU122" s="1"/>
    </row>
    <row r="123" spans="2:47" ht="18" customHeight="1" x14ac:dyDescent="0.2">
      <c r="B123" s="16" t="s">
        <v>1357</v>
      </c>
      <c r="C123" s="1" t="s">
        <v>1390</v>
      </c>
      <c r="D123" s="22" t="s">
        <v>986</v>
      </c>
      <c r="E123" s="22" t="s">
        <v>32</v>
      </c>
      <c r="F123" s="22" t="s">
        <v>924</v>
      </c>
      <c r="G123" s="23" t="s">
        <v>32</v>
      </c>
      <c r="H123" s="23" t="s">
        <v>32</v>
      </c>
      <c r="I123" s="23" t="s">
        <v>32</v>
      </c>
      <c r="J123" s="23" t="s">
        <v>62</v>
      </c>
      <c r="K123" s="22" t="s">
        <v>59</v>
      </c>
      <c r="L123" s="22" t="s">
        <v>468</v>
      </c>
      <c r="M123" s="22" t="s">
        <v>32</v>
      </c>
      <c r="N123" s="22" t="s">
        <v>32</v>
      </c>
      <c r="O123" s="23" t="s">
        <v>925</v>
      </c>
      <c r="P123" s="23" t="s">
        <v>59</v>
      </c>
      <c r="Q123" s="22" t="s">
        <v>32</v>
      </c>
      <c r="R123" s="22" t="s">
        <v>32</v>
      </c>
      <c r="S123" s="22" t="s">
        <v>32</v>
      </c>
      <c r="T123" s="23" t="s">
        <v>42</v>
      </c>
      <c r="U123" s="22" t="s">
        <v>32</v>
      </c>
      <c r="V123" s="22" t="s">
        <v>32</v>
      </c>
      <c r="W123" s="23" t="s">
        <v>32</v>
      </c>
      <c r="X123" s="22" t="s">
        <v>59</v>
      </c>
      <c r="Y123" s="22" t="s">
        <v>32</v>
      </c>
      <c r="Z123" s="22">
        <v>3.5</v>
      </c>
      <c r="AA123" s="22" t="s">
        <v>327</v>
      </c>
      <c r="AB123" s="1" t="s">
        <v>362</v>
      </c>
      <c r="AC123" s="1" t="s">
        <v>597</v>
      </c>
      <c r="AD123" s="1" t="s">
        <v>765</v>
      </c>
      <c r="AE123" s="1" t="s">
        <v>125</v>
      </c>
      <c r="AF123" s="1" t="s">
        <v>949</v>
      </c>
      <c r="AG123" s="1">
        <v>78</v>
      </c>
      <c r="AH123" s="1" t="s">
        <v>950</v>
      </c>
      <c r="AI123" s="1" t="s">
        <v>602</v>
      </c>
      <c r="AJ123" s="1" t="s">
        <v>941</v>
      </c>
      <c r="AK123" s="1" t="s">
        <v>74</v>
      </c>
      <c r="AL123" s="1">
        <v>-273</v>
      </c>
      <c r="AM123" s="1" t="s">
        <v>931</v>
      </c>
      <c r="AN123" s="1" t="s">
        <v>180</v>
      </c>
      <c r="AO123" s="1" t="s">
        <v>942</v>
      </c>
      <c r="AP123" s="1" t="s">
        <v>113</v>
      </c>
      <c r="AQ123" s="1" t="s">
        <v>113</v>
      </c>
      <c r="AR123" s="1" t="s">
        <v>113</v>
      </c>
      <c r="AS123" s="1" t="s">
        <v>113</v>
      </c>
      <c r="AT123" s="1" t="s">
        <v>57</v>
      </c>
      <c r="AU123" s="1"/>
    </row>
    <row r="124" spans="2:47" ht="18" customHeight="1" x14ac:dyDescent="0.2">
      <c r="B124" s="16" t="s">
        <v>1357</v>
      </c>
      <c r="C124" s="1" t="s">
        <v>1390</v>
      </c>
      <c r="D124" s="22" t="s">
        <v>481</v>
      </c>
      <c r="E124" s="22" t="s">
        <v>32</v>
      </c>
      <c r="F124" s="22" t="s">
        <v>924</v>
      </c>
      <c r="G124" s="23" t="s">
        <v>32</v>
      </c>
      <c r="H124" s="23" t="s">
        <v>32</v>
      </c>
      <c r="I124" s="23" t="s">
        <v>32</v>
      </c>
      <c r="J124" s="23" t="s">
        <v>62</v>
      </c>
      <c r="K124" s="22" t="s">
        <v>59</v>
      </c>
      <c r="L124" s="22" t="s">
        <v>468</v>
      </c>
      <c r="M124" s="22" t="s">
        <v>32</v>
      </c>
      <c r="N124" s="22" t="s">
        <v>32</v>
      </c>
      <c r="O124" s="23" t="s">
        <v>925</v>
      </c>
      <c r="P124" s="23" t="s">
        <v>59</v>
      </c>
      <c r="Q124" s="22" t="s">
        <v>32</v>
      </c>
      <c r="R124" s="22" t="s">
        <v>32</v>
      </c>
      <c r="S124" s="22" t="s">
        <v>32</v>
      </c>
      <c r="T124" s="23" t="s">
        <v>42</v>
      </c>
      <c r="U124" s="22" t="s">
        <v>32</v>
      </c>
      <c r="V124" s="22" t="s">
        <v>32</v>
      </c>
      <c r="W124" s="23" t="s">
        <v>32</v>
      </c>
      <c r="X124" s="22" t="s">
        <v>59</v>
      </c>
      <c r="Y124" s="22" t="s">
        <v>32</v>
      </c>
      <c r="Z124" s="22">
        <v>3.5</v>
      </c>
      <c r="AA124" s="22" t="s">
        <v>327</v>
      </c>
      <c r="AB124" s="1" t="s">
        <v>362</v>
      </c>
      <c r="AC124" s="1" t="s">
        <v>951</v>
      </c>
      <c r="AD124" s="1" t="s">
        <v>207</v>
      </c>
      <c r="AE124" s="1" t="s">
        <v>952</v>
      </c>
      <c r="AF124" s="1" t="s">
        <v>953</v>
      </c>
      <c r="AG124" s="1">
        <v>47</v>
      </c>
      <c r="AH124" s="1" t="s">
        <v>954</v>
      </c>
      <c r="AI124" s="1" t="s">
        <v>602</v>
      </c>
      <c r="AJ124" s="1" t="s">
        <v>941</v>
      </c>
      <c r="AK124" s="1" t="s">
        <v>74</v>
      </c>
      <c r="AL124" s="1">
        <v>-273</v>
      </c>
      <c r="AM124" s="1" t="s">
        <v>931</v>
      </c>
      <c r="AN124" s="1" t="s">
        <v>180</v>
      </c>
      <c r="AO124" s="1" t="s">
        <v>942</v>
      </c>
      <c r="AP124" s="1" t="s">
        <v>113</v>
      </c>
      <c r="AQ124" s="1" t="s">
        <v>113</v>
      </c>
      <c r="AR124" s="1" t="s">
        <v>113</v>
      </c>
      <c r="AS124" s="1" t="s">
        <v>113</v>
      </c>
      <c r="AT124" s="1" t="s">
        <v>57</v>
      </c>
      <c r="AU124" s="1"/>
    </row>
    <row r="125" spans="2:47" ht="18" customHeight="1" x14ac:dyDescent="0.2">
      <c r="B125" s="29" t="s">
        <v>1358</v>
      </c>
      <c r="C125" s="27" t="s">
        <v>1413</v>
      </c>
      <c r="D125" s="22" t="s">
        <v>955</v>
      </c>
      <c r="E125" s="22" t="s">
        <v>32</v>
      </c>
      <c r="F125" s="22" t="s">
        <v>956</v>
      </c>
      <c r="G125" s="23" t="s">
        <v>32</v>
      </c>
      <c r="H125" s="23" t="s">
        <v>32</v>
      </c>
      <c r="I125" s="23" t="s">
        <v>32</v>
      </c>
      <c r="J125" s="23" t="s">
        <v>685</v>
      </c>
      <c r="K125" s="22" t="s">
        <v>59</v>
      </c>
      <c r="L125" s="22" t="s">
        <v>468</v>
      </c>
      <c r="M125" s="22" t="s">
        <v>32</v>
      </c>
      <c r="N125" s="22" t="s">
        <v>32</v>
      </c>
      <c r="O125" s="23" t="s">
        <v>957</v>
      </c>
      <c r="P125" s="23" t="s">
        <v>64</v>
      </c>
      <c r="Q125" s="22" t="s">
        <v>32</v>
      </c>
      <c r="R125" s="22" t="s">
        <v>32</v>
      </c>
      <c r="S125" s="22" t="s">
        <v>32</v>
      </c>
      <c r="T125" s="23" t="s">
        <v>468</v>
      </c>
      <c r="U125" s="22" t="s">
        <v>32</v>
      </c>
      <c r="V125" s="22" t="s">
        <v>226</v>
      </c>
      <c r="W125" s="23" t="s">
        <v>32</v>
      </c>
      <c r="X125" s="22" t="s">
        <v>42</v>
      </c>
      <c r="Y125" s="22" t="s">
        <v>32</v>
      </c>
      <c r="Z125" s="22">
        <v>6.55</v>
      </c>
      <c r="AA125" s="22" t="s">
        <v>958</v>
      </c>
      <c r="AB125" s="1" t="s">
        <v>362</v>
      </c>
      <c r="AC125" s="1" t="s">
        <v>959</v>
      </c>
      <c r="AD125" s="1" t="s">
        <v>960</v>
      </c>
      <c r="AE125" s="1" t="s">
        <v>599</v>
      </c>
      <c r="AF125" s="1" t="s">
        <v>499</v>
      </c>
      <c r="AG125" s="1">
        <v>75</v>
      </c>
      <c r="AH125" s="1" t="s">
        <v>961</v>
      </c>
      <c r="AI125" s="1" t="s">
        <v>602</v>
      </c>
      <c r="AJ125" s="1" t="s">
        <v>962</v>
      </c>
      <c r="AK125" s="1" t="s">
        <v>426</v>
      </c>
      <c r="AL125" s="1">
        <v>-273</v>
      </c>
      <c r="AM125" s="1" t="s">
        <v>963</v>
      </c>
      <c r="AN125" s="1" t="s">
        <v>180</v>
      </c>
      <c r="AO125" s="1" t="s">
        <v>964</v>
      </c>
      <c r="AP125" s="1" t="s">
        <v>137</v>
      </c>
      <c r="AQ125" s="1" t="s">
        <v>113</v>
      </c>
      <c r="AR125" s="1" t="s">
        <v>137</v>
      </c>
      <c r="AS125" s="1" t="s">
        <v>113</v>
      </c>
      <c r="AT125" s="1" t="s">
        <v>57</v>
      </c>
      <c r="AU125" s="1"/>
    </row>
    <row r="126" spans="2:47" ht="18" customHeight="1" x14ac:dyDescent="0.2">
      <c r="B126" s="29" t="s">
        <v>1358</v>
      </c>
      <c r="C126" s="27" t="s">
        <v>1413</v>
      </c>
      <c r="D126" s="22" t="s">
        <v>976</v>
      </c>
      <c r="E126" s="22" t="s">
        <v>32</v>
      </c>
      <c r="F126" s="22" t="s">
        <v>956</v>
      </c>
      <c r="G126" s="23" t="s">
        <v>32</v>
      </c>
      <c r="H126" s="23" t="s">
        <v>32</v>
      </c>
      <c r="I126" s="23" t="s">
        <v>32</v>
      </c>
      <c r="J126" s="23" t="s">
        <v>685</v>
      </c>
      <c r="K126" s="22" t="s">
        <v>59</v>
      </c>
      <c r="L126" s="22" t="s">
        <v>468</v>
      </c>
      <c r="M126" s="22" t="s">
        <v>32</v>
      </c>
      <c r="N126" s="22" t="s">
        <v>32</v>
      </c>
      <c r="O126" s="23" t="s">
        <v>957</v>
      </c>
      <c r="P126" s="23" t="s">
        <v>64</v>
      </c>
      <c r="Q126" s="22" t="s">
        <v>32</v>
      </c>
      <c r="R126" s="22" t="s">
        <v>32</v>
      </c>
      <c r="S126" s="22" t="s">
        <v>32</v>
      </c>
      <c r="T126" s="23" t="s">
        <v>468</v>
      </c>
      <c r="U126" s="22" t="s">
        <v>32</v>
      </c>
      <c r="V126" s="22" t="s">
        <v>226</v>
      </c>
      <c r="W126" s="23" t="s">
        <v>32</v>
      </c>
      <c r="X126" s="22" t="s">
        <v>42</v>
      </c>
      <c r="Y126" s="22" t="s">
        <v>32</v>
      </c>
      <c r="Z126" s="22">
        <v>6.55</v>
      </c>
      <c r="AA126" s="22" t="s">
        <v>958</v>
      </c>
      <c r="AB126" s="1" t="s">
        <v>362</v>
      </c>
      <c r="AC126" s="1" t="s">
        <v>965</v>
      </c>
      <c r="AD126" s="1" t="s">
        <v>765</v>
      </c>
      <c r="AE126" s="1" t="s">
        <v>599</v>
      </c>
      <c r="AF126" s="1" t="s">
        <v>499</v>
      </c>
      <c r="AG126" s="1">
        <v>75</v>
      </c>
      <c r="AH126" s="1" t="s">
        <v>966</v>
      </c>
      <c r="AI126" s="1" t="s">
        <v>602</v>
      </c>
      <c r="AJ126" s="1" t="s">
        <v>962</v>
      </c>
      <c r="AK126" s="1" t="s">
        <v>426</v>
      </c>
      <c r="AL126" s="1">
        <v>-273</v>
      </c>
      <c r="AM126" s="1" t="s">
        <v>963</v>
      </c>
      <c r="AN126" s="1" t="s">
        <v>180</v>
      </c>
      <c r="AO126" s="1" t="s">
        <v>964</v>
      </c>
      <c r="AP126" s="1" t="s">
        <v>137</v>
      </c>
      <c r="AQ126" s="1" t="s">
        <v>113</v>
      </c>
      <c r="AR126" s="1" t="s">
        <v>137</v>
      </c>
      <c r="AS126" s="1" t="s">
        <v>113</v>
      </c>
      <c r="AT126" s="1" t="s">
        <v>57</v>
      </c>
      <c r="AU126" s="1"/>
    </row>
    <row r="127" spans="2:47" ht="18" customHeight="1" x14ac:dyDescent="0.2">
      <c r="B127" s="29" t="s">
        <v>1358</v>
      </c>
      <c r="C127" s="27" t="s">
        <v>1413</v>
      </c>
      <c r="D127" s="22" t="s">
        <v>977</v>
      </c>
      <c r="E127" s="22" t="s">
        <v>32</v>
      </c>
      <c r="F127" s="22" t="s">
        <v>956</v>
      </c>
      <c r="G127" s="23" t="s">
        <v>32</v>
      </c>
      <c r="H127" s="23" t="s">
        <v>32</v>
      </c>
      <c r="I127" s="23" t="s">
        <v>32</v>
      </c>
      <c r="J127" s="23" t="s">
        <v>685</v>
      </c>
      <c r="K127" s="22" t="s">
        <v>59</v>
      </c>
      <c r="L127" s="22" t="s">
        <v>468</v>
      </c>
      <c r="M127" s="22" t="s">
        <v>32</v>
      </c>
      <c r="N127" s="22" t="s">
        <v>32</v>
      </c>
      <c r="O127" s="23" t="s">
        <v>957</v>
      </c>
      <c r="P127" s="23" t="s">
        <v>64</v>
      </c>
      <c r="Q127" s="22" t="s">
        <v>32</v>
      </c>
      <c r="R127" s="22" t="s">
        <v>32</v>
      </c>
      <c r="S127" s="22" t="s">
        <v>32</v>
      </c>
      <c r="T127" s="23" t="s">
        <v>468</v>
      </c>
      <c r="U127" s="22" t="s">
        <v>32</v>
      </c>
      <c r="V127" s="22" t="s">
        <v>226</v>
      </c>
      <c r="W127" s="23" t="s">
        <v>32</v>
      </c>
      <c r="X127" s="22" t="s">
        <v>42</v>
      </c>
      <c r="Y127" s="22" t="s">
        <v>32</v>
      </c>
      <c r="Z127" s="22">
        <v>6.55</v>
      </c>
      <c r="AA127" s="22" t="s">
        <v>958</v>
      </c>
      <c r="AB127" s="1" t="s">
        <v>362</v>
      </c>
      <c r="AC127" s="1" t="s">
        <v>967</v>
      </c>
      <c r="AD127" s="1" t="s">
        <v>968</v>
      </c>
      <c r="AE127" s="1" t="s">
        <v>599</v>
      </c>
      <c r="AF127" s="1" t="s">
        <v>499</v>
      </c>
      <c r="AG127" s="1">
        <v>89</v>
      </c>
      <c r="AH127" s="1" t="s">
        <v>969</v>
      </c>
      <c r="AI127" s="1" t="s">
        <v>602</v>
      </c>
      <c r="AJ127" s="1" t="s">
        <v>962</v>
      </c>
      <c r="AK127" s="1" t="s">
        <v>426</v>
      </c>
      <c r="AL127" s="1">
        <v>-273</v>
      </c>
      <c r="AM127" s="1" t="s">
        <v>963</v>
      </c>
      <c r="AN127" s="1" t="s">
        <v>180</v>
      </c>
      <c r="AO127" s="1" t="s">
        <v>964</v>
      </c>
      <c r="AP127" s="1" t="s">
        <v>137</v>
      </c>
      <c r="AQ127" s="1" t="s">
        <v>113</v>
      </c>
      <c r="AR127" s="1" t="s">
        <v>137</v>
      </c>
      <c r="AS127" s="1" t="s">
        <v>113</v>
      </c>
      <c r="AT127" s="1" t="s">
        <v>57</v>
      </c>
      <c r="AU127" s="1"/>
    </row>
    <row r="128" spans="2:47" ht="18" customHeight="1" x14ac:dyDescent="0.2">
      <c r="B128" s="29" t="s">
        <v>1358</v>
      </c>
      <c r="C128" s="27" t="s">
        <v>1413</v>
      </c>
      <c r="D128" s="22" t="s">
        <v>978</v>
      </c>
      <c r="E128" s="22" t="s">
        <v>32</v>
      </c>
      <c r="F128" s="22" t="s">
        <v>956</v>
      </c>
      <c r="G128" s="23" t="s">
        <v>32</v>
      </c>
      <c r="H128" s="23" t="s">
        <v>32</v>
      </c>
      <c r="I128" s="23" t="s">
        <v>32</v>
      </c>
      <c r="J128" s="23" t="s">
        <v>685</v>
      </c>
      <c r="K128" s="22" t="s">
        <v>59</v>
      </c>
      <c r="L128" s="22" t="s">
        <v>468</v>
      </c>
      <c r="M128" s="22" t="s">
        <v>32</v>
      </c>
      <c r="N128" s="22" t="s">
        <v>32</v>
      </c>
      <c r="O128" s="23" t="s">
        <v>957</v>
      </c>
      <c r="P128" s="23" t="s">
        <v>64</v>
      </c>
      <c r="Q128" s="22" t="s">
        <v>32</v>
      </c>
      <c r="R128" s="22" t="s">
        <v>32</v>
      </c>
      <c r="S128" s="22" t="s">
        <v>32</v>
      </c>
      <c r="T128" s="23" t="s">
        <v>468</v>
      </c>
      <c r="U128" s="22" t="s">
        <v>32</v>
      </c>
      <c r="V128" s="22" t="s">
        <v>226</v>
      </c>
      <c r="W128" s="23" t="s">
        <v>32</v>
      </c>
      <c r="X128" s="22" t="s">
        <v>42</v>
      </c>
      <c r="Y128" s="22" t="s">
        <v>32</v>
      </c>
      <c r="Z128" s="22">
        <v>6.55</v>
      </c>
      <c r="AA128" s="22" t="s">
        <v>958</v>
      </c>
      <c r="AB128" s="1" t="s">
        <v>362</v>
      </c>
      <c r="AC128" s="1" t="s">
        <v>943</v>
      </c>
      <c r="AD128" s="1" t="s">
        <v>970</v>
      </c>
      <c r="AE128" s="1" t="s">
        <v>141</v>
      </c>
      <c r="AF128" s="1" t="s">
        <v>499</v>
      </c>
      <c r="AG128" s="1" t="s">
        <v>32</v>
      </c>
      <c r="AH128" s="1" t="s">
        <v>966</v>
      </c>
      <c r="AI128" s="1" t="s">
        <v>602</v>
      </c>
      <c r="AJ128" s="1" t="s">
        <v>962</v>
      </c>
      <c r="AK128" s="1" t="s">
        <v>426</v>
      </c>
      <c r="AL128" s="1">
        <v>-273</v>
      </c>
      <c r="AM128" s="1" t="s">
        <v>971</v>
      </c>
      <c r="AN128" s="1" t="s">
        <v>180</v>
      </c>
      <c r="AO128" s="1" t="s">
        <v>964</v>
      </c>
      <c r="AP128" s="1" t="s">
        <v>137</v>
      </c>
      <c r="AQ128" s="1" t="s">
        <v>113</v>
      </c>
      <c r="AR128" s="1" t="s">
        <v>137</v>
      </c>
      <c r="AS128" s="1" t="s">
        <v>113</v>
      </c>
      <c r="AT128" s="1" t="s">
        <v>57</v>
      </c>
      <c r="AU128" s="1"/>
    </row>
    <row r="129" spans="2:47" ht="18" customHeight="1" x14ac:dyDescent="0.2">
      <c r="B129" s="29" t="s">
        <v>1358</v>
      </c>
      <c r="C129" s="27" t="s">
        <v>1413</v>
      </c>
      <c r="D129" s="22" t="s">
        <v>979</v>
      </c>
      <c r="E129" s="22" t="s">
        <v>32</v>
      </c>
      <c r="F129" s="22" t="s">
        <v>956</v>
      </c>
      <c r="G129" s="23" t="s">
        <v>32</v>
      </c>
      <c r="H129" s="23" t="s">
        <v>32</v>
      </c>
      <c r="I129" s="23" t="s">
        <v>32</v>
      </c>
      <c r="J129" s="23" t="s">
        <v>685</v>
      </c>
      <c r="K129" s="22" t="s">
        <v>59</v>
      </c>
      <c r="L129" s="22" t="s">
        <v>468</v>
      </c>
      <c r="M129" s="22" t="s">
        <v>32</v>
      </c>
      <c r="N129" s="22" t="s">
        <v>32</v>
      </c>
      <c r="O129" s="23" t="s">
        <v>957</v>
      </c>
      <c r="P129" s="23" t="s">
        <v>64</v>
      </c>
      <c r="Q129" s="22" t="s">
        <v>32</v>
      </c>
      <c r="R129" s="22" t="s">
        <v>32</v>
      </c>
      <c r="S129" s="22" t="s">
        <v>32</v>
      </c>
      <c r="T129" s="23" t="s">
        <v>468</v>
      </c>
      <c r="U129" s="22" t="s">
        <v>32</v>
      </c>
      <c r="V129" s="22" t="s">
        <v>226</v>
      </c>
      <c r="W129" s="23" t="s">
        <v>32</v>
      </c>
      <c r="X129" s="22" t="s">
        <v>42</v>
      </c>
      <c r="Y129" s="22" t="s">
        <v>32</v>
      </c>
      <c r="Z129" s="22">
        <v>6.55</v>
      </c>
      <c r="AA129" s="22" t="s">
        <v>958</v>
      </c>
      <c r="AB129" s="1" t="s">
        <v>362</v>
      </c>
      <c r="AC129" s="1" t="s">
        <v>765</v>
      </c>
      <c r="AD129" s="1" t="s">
        <v>659</v>
      </c>
      <c r="AE129" s="1" t="s">
        <v>754</v>
      </c>
      <c r="AF129" s="1" t="s">
        <v>499</v>
      </c>
      <c r="AG129" s="1" t="s">
        <v>32</v>
      </c>
      <c r="AH129" s="1" t="s">
        <v>966</v>
      </c>
      <c r="AI129" s="1" t="s">
        <v>602</v>
      </c>
      <c r="AJ129" s="1" t="s">
        <v>962</v>
      </c>
      <c r="AK129" s="1" t="s">
        <v>426</v>
      </c>
      <c r="AL129" s="1">
        <v>-273</v>
      </c>
      <c r="AM129" s="1" t="s">
        <v>963</v>
      </c>
      <c r="AN129" s="1" t="s">
        <v>180</v>
      </c>
      <c r="AO129" s="1" t="s">
        <v>964</v>
      </c>
      <c r="AP129" s="1" t="s">
        <v>137</v>
      </c>
      <c r="AQ129" s="1" t="s">
        <v>113</v>
      </c>
      <c r="AR129" s="1" t="s">
        <v>137</v>
      </c>
      <c r="AS129" s="1" t="s">
        <v>113</v>
      </c>
      <c r="AT129" s="1" t="s">
        <v>57</v>
      </c>
      <c r="AU129" s="1"/>
    </row>
    <row r="130" spans="2:47" ht="18" customHeight="1" x14ac:dyDescent="0.2">
      <c r="B130" s="29" t="s">
        <v>1358</v>
      </c>
      <c r="C130" s="27" t="s">
        <v>1413</v>
      </c>
      <c r="D130" s="22" t="s">
        <v>481</v>
      </c>
      <c r="E130" s="22" t="s">
        <v>32</v>
      </c>
      <c r="F130" s="22" t="s">
        <v>956</v>
      </c>
      <c r="G130" s="23" t="s">
        <v>32</v>
      </c>
      <c r="H130" s="23" t="s">
        <v>32</v>
      </c>
      <c r="I130" s="23" t="s">
        <v>32</v>
      </c>
      <c r="J130" s="23" t="s">
        <v>685</v>
      </c>
      <c r="K130" s="22" t="s">
        <v>59</v>
      </c>
      <c r="L130" s="22" t="s">
        <v>468</v>
      </c>
      <c r="M130" s="22" t="s">
        <v>32</v>
      </c>
      <c r="N130" s="22" t="s">
        <v>32</v>
      </c>
      <c r="O130" s="23" t="s">
        <v>957</v>
      </c>
      <c r="P130" s="23" t="s">
        <v>64</v>
      </c>
      <c r="Q130" s="22" t="s">
        <v>32</v>
      </c>
      <c r="R130" s="22" t="s">
        <v>32</v>
      </c>
      <c r="S130" s="22" t="s">
        <v>32</v>
      </c>
      <c r="T130" s="23" t="s">
        <v>468</v>
      </c>
      <c r="U130" s="22" t="s">
        <v>32</v>
      </c>
      <c r="V130" s="22" t="s">
        <v>226</v>
      </c>
      <c r="W130" s="23" t="s">
        <v>32</v>
      </c>
      <c r="X130" s="22" t="s">
        <v>42</v>
      </c>
      <c r="Y130" s="22" t="s">
        <v>32</v>
      </c>
      <c r="Z130" s="22">
        <v>6.55</v>
      </c>
      <c r="AA130" s="22" t="s">
        <v>958</v>
      </c>
      <c r="AB130" s="1" t="s">
        <v>362</v>
      </c>
      <c r="AC130" s="1" t="s">
        <v>972</v>
      </c>
      <c r="AD130" s="1" t="s">
        <v>973</v>
      </c>
      <c r="AE130" s="1" t="s">
        <v>974</v>
      </c>
      <c r="AF130" s="1" t="s">
        <v>499</v>
      </c>
      <c r="AG130" s="1">
        <v>75</v>
      </c>
      <c r="AH130" s="1" t="s">
        <v>916</v>
      </c>
      <c r="AI130" s="1" t="s">
        <v>476</v>
      </c>
      <c r="AJ130" s="1" t="s">
        <v>975</v>
      </c>
      <c r="AK130" s="1" t="s">
        <v>426</v>
      </c>
      <c r="AL130" s="1">
        <v>-273</v>
      </c>
      <c r="AM130" s="1" t="s">
        <v>963</v>
      </c>
      <c r="AN130" s="1" t="s">
        <v>180</v>
      </c>
      <c r="AO130" s="1" t="s">
        <v>964</v>
      </c>
      <c r="AP130" s="1" t="s">
        <v>137</v>
      </c>
      <c r="AQ130" s="1" t="s">
        <v>113</v>
      </c>
      <c r="AR130" s="1" t="s">
        <v>137</v>
      </c>
      <c r="AS130" s="1" t="s">
        <v>113</v>
      </c>
      <c r="AT130" s="1" t="s">
        <v>57</v>
      </c>
      <c r="AU130" s="1"/>
    </row>
    <row r="131" spans="2:47" ht="18" customHeight="1" x14ac:dyDescent="0.2">
      <c r="B131" s="29" t="s">
        <v>1359</v>
      </c>
      <c r="C131" s="27" t="s">
        <v>1412</v>
      </c>
      <c r="D131" s="22" t="s">
        <v>980</v>
      </c>
      <c r="E131" s="22" t="s">
        <v>32</v>
      </c>
      <c r="F131" s="22" t="s">
        <v>981</v>
      </c>
      <c r="G131" s="23" t="s">
        <v>32</v>
      </c>
      <c r="H131" s="23" t="s">
        <v>32</v>
      </c>
      <c r="I131" s="23" t="s">
        <v>32</v>
      </c>
      <c r="J131" s="23" t="s">
        <v>685</v>
      </c>
      <c r="K131" s="22" t="s">
        <v>59</v>
      </c>
      <c r="L131" s="22" t="s">
        <v>98</v>
      </c>
      <c r="M131" s="22" t="s">
        <v>32</v>
      </c>
      <c r="N131" s="22" t="s">
        <v>32</v>
      </c>
      <c r="O131" s="23" t="s">
        <v>418</v>
      </c>
      <c r="P131" s="23" t="s">
        <v>982</v>
      </c>
      <c r="Q131" s="22" t="s">
        <v>32</v>
      </c>
      <c r="R131" s="22" t="s">
        <v>32</v>
      </c>
      <c r="S131" s="22" t="s">
        <v>32</v>
      </c>
      <c r="T131" s="23" t="s">
        <v>468</v>
      </c>
      <c r="U131" s="22" t="s">
        <v>32</v>
      </c>
      <c r="V131" s="22" t="s">
        <v>226</v>
      </c>
      <c r="W131" s="23" t="s">
        <v>32</v>
      </c>
      <c r="X131" s="22" t="s">
        <v>42</v>
      </c>
      <c r="Y131" s="22" t="s">
        <v>32</v>
      </c>
      <c r="Z131" s="22">
        <v>5.85</v>
      </c>
      <c r="AA131" s="22" t="s">
        <v>958</v>
      </c>
      <c r="AB131" s="1" t="s">
        <v>362</v>
      </c>
      <c r="AC131" s="1" t="s">
        <v>877</v>
      </c>
      <c r="AD131" s="1" t="s">
        <v>751</v>
      </c>
      <c r="AE131" s="1" t="s">
        <v>599</v>
      </c>
      <c r="AF131" s="1" t="s">
        <v>426</v>
      </c>
      <c r="AG131" s="1">
        <v>65</v>
      </c>
      <c r="AH131" s="1" t="s">
        <v>678</v>
      </c>
      <c r="AI131" s="1" t="s">
        <v>602</v>
      </c>
      <c r="AJ131" s="1" t="s">
        <v>983</v>
      </c>
      <c r="AK131" s="1" t="s">
        <v>426</v>
      </c>
      <c r="AL131" s="1">
        <v>-273</v>
      </c>
      <c r="AM131" s="1" t="s">
        <v>678</v>
      </c>
      <c r="AN131" s="1" t="s">
        <v>180</v>
      </c>
      <c r="AO131" s="1" t="s">
        <v>964</v>
      </c>
      <c r="AP131" s="1" t="s">
        <v>137</v>
      </c>
      <c r="AQ131" s="1" t="s">
        <v>113</v>
      </c>
      <c r="AR131" s="1" t="s">
        <v>137</v>
      </c>
      <c r="AS131" s="1" t="s">
        <v>113</v>
      </c>
      <c r="AT131" s="1" t="s">
        <v>57</v>
      </c>
      <c r="AU131" s="1"/>
    </row>
    <row r="132" spans="2:47" ht="18" customHeight="1" x14ac:dyDescent="0.2">
      <c r="B132" s="29" t="s">
        <v>1360</v>
      </c>
      <c r="C132" s="27" t="s">
        <v>1412</v>
      </c>
      <c r="D132" s="22" t="s">
        <v>976</v>
      </c>
      <c r="E132" s="22" t="s">
        <v>32</v>
      </c>
      <c r="F132" s="22" t="s">
        <v>981</v>
      </c>
      <c r="G132" s="23" t="s">
        <v>32</v>
      </c>
      <c r="H132" s="23" t="s">
        <v>32</v>
      </c>
      <c r="I132" s="23" t="s">
        <v>32</v>
      </c>
      <c r="J132" s="23" t="s">
        <v>685</v>
      </c>
      <c r="K132" s="22" t="s">
        <v>59</v>
      </c>
      <c r="L132" s="22" t="s">
        <v>98</v>
      </c>
      <c r="M132" s="22" t="s">
        <v>32</v>
      </c>
      <c r="N132" s="22" t="s">
        <v>32</v>
      </c>
      <c r="O132" s="23" t="s">
        <v>418</v>
      </c>
      <c r="P132" s="23" t="s">
        <v>982</v>
      </c>
      <c r="Q132" s="22" t="s">
        <v>32</v>
      </c>
      <c r="R132" s="22" t="s">
        <v>32</v>
      </c>
      <c r="S132" s="22" t="s">
        <v>32</v>
      </c>
      <c r="T132" s="23" t="s">
        <v>468</v>
      </c>
      <c r="U132" s="22" t="s">
        <v>32</v>
      </c>
      <c r="V132" s="22" t="s">
        <v>226</v>
      </c>
      <c r="W132" s="23" t="s">
        <v>32</v>
      </c>
      <c r="X132" s="22" t="s">
        <v>42</v>
      </c>
      <c r="Y132" s="22" t="s">
        <v>32</v>
      </c>
      <c r="Z132" s="22">
        <v>5.85</v>
      </c>
      <c r="AA132" s="22" t="s">
        <v>958</v>
      </c>
      <c r="AB132" s="1" t="s">
        <v>362</v>
      </c>
      <c r="AC132" s="1" t="s">
        <v>987</v>
      </c>
      <c r="AD132" s="1" t="s">
        <v>943</v>
      </c>
      <c r="AE132" s="1" t="s">
        <v>988</v>
      </c>
      <c r="AF132" s="1" t="s">
        <v>989</v>
      </c>
      <c r="AG132" s="1">
        <v>69</v>
      </c>
      <c r="AH132" s="1" t="s">
        <v>678</v>
      </c>
      <c r="AI132" s="1" t="s">
        <v>602</v>
      </c>
      <c r="AJ132" s="1" t="s">
        <v>983</v>
      </c>
      <c r="AK132" s="1" t="s">
        <v>426</v>
      </c>
      <c r="AL132" s="1">
        <v>-273</v>
      </c>
      <c r="AM132" s="1" t="s">
        <v>678</v>
      </c>
      <c r="AN132" s="1" t="s">
        <v>180</v>
      </c>
      <c r="AO132" s="1" t="s">
        <v>964</v>
      </c>
      <c r="AP132" s="1" t="s">
        <v>137</v>
      </c>
      <c r="AQ132" s="1" t="s">
        <v>113</v>
      </c>
      <c r="AR132" s="1" t="s">
        <v>137</v>
      </c>
      <c r="AS132" s="1" t="s">
        <v>113</v>
      </c>
      <c r="AT132" s="1" t="s">
        <v>57</v>
      </c>
      <c r="AU132" s="1"/>
    </row>
    <row r="133" spans="2:47" ht="18" customHeight="1" x14ac:dyDescent="0.2">
      <c r="B133" s="29" t="s">
        <v>1360</v>
      </c>
      <c r="C133" s="27" t="s">
        <v>1412</v>
      </c>
      <c r="D133" s="22" t="s">
        <v>937</v>
      </c>
      <c r="E133" s="22" t="s">
        <v>32</v>
      </c>
      <c r="F133" s="22" t="s">
        <v>981</v>
      </c>
      <c r="G133" s="23" t="s">
        <v>32</v>
      </c>
      <c r="H133" s="23" t="s">
        <v>32</v>
      </c>
      <c r="I133" s="23" t="s">
        <v>32</v>
      </c>
      <c r="J133" s="23" t="s">
        <v>685</v>
      </c>
      <c r="K133" s="22" t="s">
        <v>59</v>
      </c>
      <c r="L133" s="22" t="s">
        <v>98</v>
      </c>
      <c r="M133" s="22" t="s">
        <v>32</v>
      </c>
      <c r="N133" s="22" t="s">
        <v>32</v>
      </c>
      <c r="O133" s="23" t="s">
        <v>418</v>
      </c>
      <c r="P133" s="23" t="s">
        <v>982</v>
      </c>
      <c r="Q133" s="22" t="s">
        <v>32</v>
      </c>
      <c r="R133" s="22" t="s">
        <v>32</v>
      </c>
      <c r="S133" s="22" t="s">
        <v>32</v>
      </c>
      <c r="T133" s="23" t="s">
        <v>468</v>
      </c>
      <c r="U133" s="22" t="s">
        <v>32</v>
      </c>
      <c r="V133" s="22" t="s">
        <v>226</v>
      </c>
      <c r="W133" s="23" t="s">
        <v>32</v>
      </c>
      <c r="X133" s="22" t="s">
        <v>42</v>
      </c>
      <c r="Y133" s="22" t="s">
        <v>32</v>
      </c>
      <c r="Z133" s="22">
        <v>5.85</v>
      </c>
      <c r="AA133" s="22" t="s">
        <v>958</v>
      </c>
      <c r="AB133" s="1" t="s">
        <v>362</v>
      </c>
      <c r="AC133" s="1" t="s">
        <v>990</v>
      </c>
      <c r="AD133" s="1" t="s">
        <v>296</v>
      </c>
      <c r="AE133" s="1" t="s">
        <v>991</v>
      </c>
      <c r="AF133" s="1" t="s">
        <v>992</v>
      </c>
      <c r="AG133" s="1">
        <v>80</v>
      </c>
      <c r="AH133" s="1" t="s">
        <v>678</v>
      </c>
      <c r="AI133" s="1" t="s">
        <v>602</v>
      </c>
      <c r="AJ133" s="1" t="s">
        <v>983</v>
      </c>
      <c r="AK133" s="1" t="s">
        <v>426</v>
      </c>
      <c r="AL133" s="1">
        <v>-273</v>
      </c>
      <c r="AM133" s="1" t="s">
        <v>678</v>
      </c>
      <c r="AN133" s="1" t="s">
        <v>180</v>
      </c>
      <c r="AO133" s="1" t="s">
        <v>993</v>
      </c>
      <c r="AP133" s="1" t="s">
        <v>137</v>
      </c>
      <c r="AQ133" s="1" t="s">
        <v>113</v>
      </c>
      <c r="AR133" s="1" t="s">
        <v>137</v>
      </c>
      <c r="AS133" s="1" t="s">
        <v>113</v>
      </c>
      <c r="AT133" s="1" t="s">
        <v>57</v>
      </c>
      <c r="AU133" s="1"/>
    </row>
    <row r="134" spans="2:47" ht="18" customHeight="1" x14ac:dyDescent="0.2">
      <c r="B134" s="29" t="s">
        <v>1360</v>
      </c>
      <c r="C134" s="27" t="s">
        <v>1412</v>
      </c>
      <c r="D134" s="22" t="s">
        <v>984</v>
      </c>
      <c r="E134" s="22" t="s">
        <v>32</v>
      </c>
      <c r="F134" s="22" t="s">
        <v>981</v>
      </c>
      <c r="G134" s="23" t="s">
        <v>32</v>
      </c>
      <c r="H134" s="23" t="s">
        <v>32</v>
      </c>
      <c r="I134" s="23" t="s">
        <v>32</v>
      </c>
      <c r="J134" s="23" t="s">
        <v>685</v>
      </c>
      <c r="K134" s="22" t="s">
        <v>59</v>
      </c>
      <c r="L134" s="22" t="s">
        <v>98</v>
      </c>
      <c r="M134" s="22" t="s">
        <v>32</v>
      </c>
      <c r="N134" s="22" t="s">
        <v>32</v>
      </c>
      <c r="O134" s="23" t="s">
        <v>418</v>
      </c>
      <c r="P134" s="23" t="s">
        <v>982</v>
      </c>
      <c r="Q134" s="22" t="s">
        <v>32</v>
      </c>
      <c r="R134" s="22" t="s">
        <v>32</v>
      </c>
      <c r="S134" s="22" t="s">
        <v>32</v>
      </c>
      <c r="T134" s="23" t="s">
        <v>468</v>
      </c>
      <c r="U134" s="22" t="s">
        <v>32</v>
      </c>
      <c r="V134" s="22" t="s">
        <v>226</v>
      </c>
      <c r="W134" s="23" t="s">
        <v>32</v>
      </c>
      <c r="X134" s="22" t="s">
        <v>42</v>
      </c>
      <c r="Y134" s="22" t="s">
        <v>32</v>
      </c>
      <c r="Z134" s="22">
        <v>5.85</v>
      </c>
      <c r="AA134" s="22" t="s">
        <v>958</v>
      </c>
      <c r="AB134" s="1" t="s">
        <v>362</v>
      </c>
      <c r="AC134" s="1" t="s">
        <v>377</v>
      </c>
      <c r="AD134" s="1" t="s">
        <v>994</v>
      </c>
      <c r="AE134" s="1" t="s">
        <v>995</v>
      </c>
      <c r="AF134" s="1" t="s">
        <v>996</v>
      </c>
      <c r="AG134" s="1">
        <v>88</v>
      </c>
      <c r="AH134" s="1" t="s">
        <v>678</v>
      </c>
      <c r="AI134" s="1" t="s">
        <v>602</v>
      </c>
      <c r="AJ134" s="1" t="s">
        <v>983</v>
      </c>
      <c r="AK134" s="1" t="s">
        <v>426</v>
      </c>
      <c r="AL134" s="1">
        <v>-273</v>
      </c>
      <c r="AM134" s="1" t="s">
        <v>678</v>
      </c>
      <c r="AN134" s="1" t="s">
        <v>180</v>
      </c>
      <c r="AO134" s="1" t="s">
        <v>993</v>
      </c>
      <c r="AP134" s="1" t="s">
        <v>137</v>
      </c>
      <c r="AQ134" s="1" t="s">
        <v>113</v>
      </c>
      <c r="AR134" s="1" t="s">
        <v>137</v>
      </c>
      <c r="AS134" s="1" t="s">
        <v>113</v>
      </c>
      <c r="AT134" s="1" t="s">
        <v>57</v>
      </c>
      <c r="AU134" s="1"/>
    </row>
    <row r="135" spans="2:47" ht="18" customHeight="1" x14ac:dyDescent="0.2">
      <c r="B135" s="29" t="s">
        <v>1360</v>
      </c>
      <c r="C135" s="27" t="s">
        <v>1412</v>
      </c>
      <c r="D135" s="22" t="s">
        <v>985</v>
      </c>
      <c r="E135" s="22" t="s">
        <v>32</v>
      </c>
      <c r="F135" s="22" t="s">
        <v>981</v>
      </c>
      <c r="G135" s="23" t="s">
        <v>32</v>
      </c>
      <c r="H135" s="23" t="s">
        <v>32</v>
      </c>
      <c r="I135" s="23" t="s">
        <v>32</v>
      </c>
      <c r="J135" s="23" t="s">
        <v>685</v>
      </c>
      <c r="K135" s="22" t="s">
        <v>59</v>
      </c>
      <c r="L135" s="22" t="s">
        <v>98</v>
      </c>
      <c r="M135" s="22" t="s">
        <v>32</v>
      </c>
      <c r="N135" s="22" t="s">
        <v>32</v>
      </c>
      <c r="O135" s="23" t="s">
        <v>418</v>
      </c>
      <c r="P135" s="23" t="s">
        <v>982</v>
      </c>
      <c r="Q135" s="22" t="s">
        <v>32</v>
      </c>
      <c r="R135" s="22" t="s">
        <v>32</v>
      </c>
      <c r="S135" s="22" t="s">
        <v>32</v>
      </c>
      <c r="T135" s="23" t="s">
        <v>468</v>
      </c>
      <c r="U135" s="22" t="s">
        <v>32</v>
      </c>
      <c r="V135" s="22" t="s">
        <v>226</v>
      </c>
      <c r="W135" s="23" t="s">
        <v>32</v>
      </c>
      <c r="X135" s="22" t="s">
        <v>42</v>
      </c>
      <c r="Y135" s="22" t="s">
        <v>32</v>
      </c>
      <c r="Z135" s="22">
        <v>5.85</v>
      </c>
      <c r="AA135" s="22" t="s">
        <v>958</v>
      </c>
      <c r="AB135" s="1" t="s">
        <v>362</v>
      </c>
      <c r="AC135" s="1" t="s">
        <v>947</v>
      </c>
      <c r="AD135" s="1" t="s">
        <v>997</v>
      </c>
      <c r="AE135" s="1" t="s">
        <v>998</v>
      </c>
      <c r="AF135" s="1" t="s">
        <v>426</v>
      </c>
      <c r="AG135" s="1">
        <v>96</v>
      </c>
      <c r="AH135" s="1" t="s">
        <v>678</v>
      </c>
      <c r="AI135" s="1" t="s">
        <v>602</v>
      </c>
      <c r="AJ135" s="1" t="s">
        <v>983</v>
      </c>
      <c r="AK135" s="1" t="s">
        <v>426</v>
      </c>
      <c r="AL135" s="1">
        <v>-273</v>
      </c>
      <c r="AM135" s="1" t="s">
        <v>678</v>
      </c>
      <c r="AN135" s="1" t="s">
        <v>180</v>
      </c>
      <c r="AO135" s="1" t="s">
        <v>993</v>
      </c>
      <c r="AP135" s="1" t="s">
        <v>137</v>
      </c>
      <c r="AQ135" s="1" t="s">
        <v>113</v>
      </c>
      <c r="AR135" s="1" t="s">
        <v>137</v>
      </c>
      <c r="AS135" s="1" t="s">
        <v>113</v>
      </c>
      <c r="AT135" s="1" t="s">
        <v>57</v>
      </c>
      <c r="AU135" s="1"/>
    </row>
    <row r="136" spans="2:47" ht="18" customHeight="1" x14ac:dyDescent="0.2">
      <c r="B136" s="29" t="s">
        <v>1360</v>
      </c>
      <c r="C136" s="27" t="s">
        <v>1412</v>
      </c>
      <c r="D136" s="22" t="s">
        <v>986</v>
      </c>
      <c r="E136" s="22" t="s">
        <v>32</v>
      </c>
      <c r="F136" s="22" t="s">
        <v>981</v>
      </c>
      <c r="G136" s="23" t="s">
        <v>32</v>
      </c>
      <c r="H136" s="23" t="s">
        <v>32</v>
      </c>
      <c r="I136" s="23" t="s">
        <v>32</v>
      </c>
      <c r="J136" s="23" t="s">
        <v>685</v>
      </c>
      <c r="K136" s="22" t="s">
        <v>59</v>
      </c>
      <c r="L136" s="22" t="s">
        <v>98</v>
      </c>
      <c r="M136" s="22" t="s">
        <v>32</v>
      </c>
      <c r="N136" s="22" t="s">
        <v>32</v>
      </c>
      <c r="O136" s="23" t="s">
        <v>418</v>
      </c>
      <c r="P136" s="23" t="s">
        <v>982</v>
      </c>
      <c r="Q136" s="22" t="s">
        <v>32</v>
      </c>
      <c r="R136" s="22" t="s">
        <v>32</v>
      </c>
      <c r="S136" s="22" t="s">
        <v>32</v>
      </c>
      <c r="T136" s="23" t="s">
        <v>468</v>
      </c>
      <c r="U136" s="22" t="s">
        <v>32</v>
      </c>
      <c r="V136" s="22" t="s">
        <v>226</v>
      </c>
      <c r="W136" s="23" t="s">
        <v>32</v>
      </c>
      <c r="X136" s="22" t="s">
        <v>42</v>
      </c>
      <c r="Y136" s="22" t="s">
        <v>32</v>
      </c>
      <c r="Z136" s="22">
        <v>5.85</v>
      </c>
      <c r="AA136" s="22" t="s">
        <v>958</v>
      </c>
      <c r="AB136" s="1" t="s">
        <v>362</v>
      </c>
      <c r="AC136" s="1" t="s">
        <v>999</v>
      </c>
      <c r="AD136" s="1" t="s">
        <v>659</v>
      </c>
      <c r="AE136" s="1" t="s">
        <v>1000</v>
      </c>
      <c r="AF136" s="1" t="s">
        <v>426</v>
      </c>
      <c r="AG136" s="1">
        <v>68</v>
      </c>
      <c r="AH136" s="1" t="s">
        <v>678</v>
      </c>
      <c r="AI136" s="1" t="s">
        <v>602</v>
      </c>
      <c r="AJ136" s="1" t="s">
        <v>983</v>
      </c>
      <c r="AK136" s="1" t="s">
        <v>426</v>
      </c>
      <c r="AL136" s="1">
        <v>-273</v>
      </c>
      <c r="AM136" s="1" t="s">
        <v>678</v>
      </c>
      <c r="AN136" s="1" t="s">
        <v>180</v>
      </c>
      <c r="AO136" s="1" t="s">
        <v>993</v>
      </c>
      <c r="AP136" s="1" t="s">
        <v>137</v>
      </c>
      <c r="AQ136" s="1" t="s">
        <v>113</v>
      </c>
      <c r="AR136" s="1" t="s">
        <v>137</v>
      </c>
      <c r="AS136" s="1" t="s">
        <v>113</v>
      </c>
      <c r="AT136" s="1" t="s">
        <v>57</v>
      </c>
      <c r="AU136" s="1"/>
    </row>
    <row r="137" spans="2:47" ht="18" customHeight="1" x14ac:dyDescent="0.2">
      <c r="B137" s="29" t="s">
        <v>1360</v>
      </c>
      <c r="C137" s="27" t="s">
        <v>1412</v>
      </c>
      <c r="D137" s="22" t="s">
        <v>481</v>
      </c>
      <c r="E137" s="22" t="s">
        <v>32</v>
      </c>
      <c r="F137" s="22" t="s">
        <v>981</v>
      </c>
      <c r="G137" s="23" t="s">
        <v>32</v>
      </c>
      <c r="H137" s="23" t="s">
        <v>32</v>
      </c>
      <c r="I137" s="23" t="s">
        <v>32</v>
      </c>
      <c r="J137" s="23" t="s">
        <v>685</v>
      </c>
      <c r="K137" s="22" t="s">
        <v>59</v>
      </c>
      <c r="L137" s="22" t="s">
        <v>98</v>
      </c>
      <c r="M137" s="22" t="s">
        <v>32</v>
      </c>
      <c r="N137" s="22" t="s">
        <v>32</v>
      </c>
      <c r="O137" s="23" t="s">
        <v>418</v>
      </c>
      <c r="P137" s="23" t="s">
        <v>982</v>
      </c>
      <c r="Q137" s="22" t="s">
        <v>32</v>
      </c>
      <c r="R137" s="22" t="s">
        <v>32</v>
      </c>
      <c r="S137" s="22" t="s">
        <v>32</v>
      </c>
      <c r="T137" s="23" t="s">
        <v>468</v>
      </c>
      <c r="U137" s="22" t="s">
        <v>32</v>
      </c>
      <c r="V137" s="22" t="s">
        <v>226</v>
      </c>
      <c r="W137" s="23" t="s">
        <v>32</v>
      </c>
      <c r="X137" s="22" t="s">
        <v>42</v>
      </c>
      <c r="Y137" s="22" t="s">
        <v>32</v>
      </c>
      <c r="Z137" s="22">
        <v>5.85</v>
      </c>
      <c r="AA137" s="22" t="s">
        <v>958</v>
      </c>
      <c r="AB137" s="1" t="s">
        <v>362</v>
      </c>
      <c r="AC137" s="1" t="s">
        <v>1001</v>
      </c>
      <c r="AD137" s="1" t="s">
        <v>1002</v>
      </c>
      <c r="AE137" s="1" t="s">
        <v>1003</v>
      </c>
      <c r="AF137" s="1" t="s">
        <v>483</v>
      </c>
      <c r="AG137" s="1">
        <v>65</v>
      </c>
      <c r="AH137" s="1" t="s">
        <v>678</v>
      </c>
      <c r="AI137" s="1" t="s">
        <v>602</v>
      </c>
      <c r="AJ137" s="1" t="s">
        <v>983</v>
      </c>
      <c r="AK137" s="1" t="s">
        <v>426</v>
      </c>
      <c r="AL137" s="1">
        <v>-273</v>
      </c>
      <c r="AM137" s="1" t="s">
        <v>678</v>
      </c>
      <c r="AN137" s="1" t="s">
        <v>180</v>
      </c>
      <c r="AO137" s="1" t="s">
        <v>993</v>
      </c>
      <c r="AP137" s="1" t="s">
        <v>137</v>
      </c>
      <c r="AQ137" s="1" t="s">
        <v>113</v>
      </c>
      <c r="AR137" s="1" t="s">
        <v>137</v>
      </c>
      <c r="AS137" s="1" t="s">
        <v>113</v>
      </c>
      <c r="AT137" s="1" t="s">
        <v>57</v>
      </c>
      <c r="AU137" s="1"/>
    </row>
    <row r="138" spans="2:47" ht="18" customHeight="1" x14ac:dyDescent="0.2">
      <c r="B138" s="16" t="s">
        <v>1310</v>
      </c>
      <c r="C138" s="1" t="s">
        <v>1410</v>
      </c>
      <c r="D138" s="22" t="s">
        <v>1004</v>
      </c>
      <c r="E138" s="22" t="s">
        <v>32</v>
      </c>
      <c r="F138" s="22" t="s">
        <v>1005</v>
      </c>
      <c r="G138" s="23" t="s">
        <v>32</v>
      </c>
      <c r="H138" s="23" t="s">
        <v>32</v>
      </c>
      <c r="I138" s="23" t="s">
        <v>32</v>
      </c>
      <c r="J138" s="23" t="s">
        <v>62</v>
      </c>
      <c r="K138" s="22" t="s">
        <v>59</v>
      </c>
      <c r="L138" s="22" t="s">
        <v>468</v>
      </c>
      <c r="M138" s="22" t="s">
        <v>32</v>
      </c>
      <c r="N138" s="22" t="s">
        <v>32</v>
      </c>
      <c r="O138" s="23" t="s">
        <v>1006</v>
      </c>
      <c r="P138" s="23" t="s">
        <v>59</v>
      </c>
      <c r="Q138" s="22" t="s">
        <v>32</v>
      </c>
      <c r="R138" s="22" t="s">
        <v>32</v>
      </c>
      <c r="S138" s="22" t="s">
        <v>32</v>
      </c>
      <c r="T138" s="23" t="s">
        <v>42</v>
      </c>
      <c r="U138" s="22" t="s">
        <v>32</v>
      </c>
      <c r="V138" s="22" t="s">
        <v>167</v>
      </c>
      <c r="W138" s="23" t="s">
        <v>32</v>
      </c>
      <c r="X138" s="22" t="s">
        <v>167</v>
      </c>
      <c r="Y138" s="22" t="s">
        <v>32</v>
      </c>
      <c r="Z138" s="22">
        <v>4.5999999999999996</v>
      </c>
      <c r="AA138" s="22" t="s">
        <v>1007</v>
      </c>
      <c r="AB138" s="1" t="s">
        <v>1008</v>
      </c>
      <c r="AC138" s="1" t="s">
        <v>91</v>
      </c>
      <c r="AD138" s="1" t="s">
        <v>1009</v>
      </c>
      <c r="AE138" s="1" t="s">
        <v>531</v>
      </c>
      <c r="AF138" s="1" t="s">
        <v>483</v>
      </c>
      <c r="AG138" s="1" t="s">
        <v>32</v>
      </c>
      <c r="AH138" s="1" t="s">
        <v>1010</v>
      </c>
      <c r="AI138" s="1" t="s">
        <v>476</v>
      </c>
      <c r="AJ138" s="1" t="s">
        <v>1011</v>
      </c>
      <c r="AK138" s="1" t="s">
        <v>74</v>
      </c>
      <c r="AL138" s="1">
        <v>-273</v>
      </c>
      <c r="AM138" s="1" t="s">
        <v>1012</v>
      </c>
      <c r="AN138" s="1" t="s">
        <v>1013</v>
      </c>
      <c r="AO138" s="1" t="s">
        <v>631</v>
      </c>
      <c r="AP138" s="1" t="s">
        <v>137</v>
      </c>
      <c r="AQ138" s="1" t="s">
        <v>113</v>
      </c>
      <c r="AR138" s="1" t="s">
        <v>137</v>
      </c>
      <c r="AS138" s="1" t="s">
        <v>113</v>
      </c>
      <c r="AT138" s="1" t="s">
        <v>57</v>
      </c>
      <c r="AU138" s="1"/>
    </row>
    <row r="139" spans="2:47" ht="18" customHeight="1" x14ac:dyDescent="0.2">
      <c r="B139" s="16" t="s">
        <v>1310</v>
      </c>
      <c r="C139" s="1" t="s">
        <v>1411</v>
      </c>
      <c r="D139" s="22" t="s">
        <v>502</v>
      </c>
      <c r="E139" s="22" t="s">
        <v>32</v>
      </c>
      <c r="F139" s="22" t="s">
        <v>1005</v>
      </c>
      <c r="G139" s="23" t="s">
        <v>32</v>
      </c>
      <c r="H139" s="23" t="s">
        <v>32</v>
      </c>
      <c r="I139" s="23" t="s">
        <v>32</v>
      </c>
      <c r="J139" s="23" t="s">
        <v>62</v>
      </c>
      <c r="K139" s="22" t="s">
        <v>59</v>
      </c>
      <c r="L139" s="22" t="s">
        <v>468</v>
      </c>
      <c r="M139" s="22" t="s">
        <v>32</v>
      </c>
      <c r="N139" s="22" t="s">
        <v>32</v>
      </c>
      <c r="O139" s="23" t="s">
        <v>1006</v>
      </c>
      <c r="P139" s="23" t="s">
        <v>59</v>
      </c>
      <c r="Q139" s="22" t="s">
        <v>32</v>
      </c>
      <c r="R139" s="22" t="s">
        <v>32</v>
      </c>
      <c r="S139" s="22" t="s">
        <v>32</v>
      </c>
      <c r="T139" s="23" t="s">
        <v>42</v>
      </c>
      <c r="U139" s="22" t="s">
        <v>32</v>
      </c>
      <c r="V139" s="22" t="s">
        <v>167</v>
      </c>
      <c r="W139" s="23" t="s">
        <v>32</v>
      </c>
      <c r="X139" s="22" t="s">
        <v>167</v>
      </c>
      <c r="Y139" s="22" t="s">
        <v>32</v>
      </c>
      <c r="Z139" s="22">
        <v>4.5999999999999996</v>
      </c>
      <c r="AA139" s="22" t="s">
        <v>1007</v>
      </c>
      <c r="AB139" s="1" t="s">
        <v>1008</v>
      </c>
      <c r="AC139" s="1" t="s">
        <v>1014</v>
      </c>
      <c r="AD139" s="1" t="s">
        <v>296</v>
      </c>
      <c r="AE139" s="1" t="s">
        <v>1015</v>
      </c>
      <c r="AF139" s="1" t="s">
        <v>1016</v>
      </c>
      <c r="AG139" s="1" t="s">
        <v>32</v>
      </c>
      <c r="AH139" s="1" t="s">
        <v>1017</v>
      </c>
      <c r="AI139" s="1" t="s">
        <v>476</v>
      </c>
      <c r="AJ139" s="1" t="s">
        <v>1011</v>
      </c>
      <c r="AK139" s="1" t="s">
        <v>74</v>
      </c>
      <c r="AL139" s="1">
        <v>-273</v>
      </c>
      <c r="AM139" s="1" t="s">
        <v>1012</v>
      </c>
      <c r="AN139" s="1" t="s">
        <v>1013</v>
      </c>
      <c r="AO139" s="1" t="s">
        <v>631</v>
      </c>
      <c r="AP139" s="1" t="s">
        <v>137</v>
      </c>
      <c r="AQ139" s="1" t="s">
        <v>113</v>
      </c>
      <c r="AR139" s="1" t="s">
        <v>137</v>
      </c>
      <c r="AS139" s="1" t="s">
        <v>113</v>
      </c>
      <c r="AT139" s="1" t="s">
        <v>57</v>
      </c>
      <c r="AU139" s="1"/>
    </row>
    <row r="140" spans="2:47" ht="18" customHeight="1" x14ac:dyDescent="0.2">
      <c r="B140" s="16" t="s">
        <v>1310</v>
      </c>
      <c r="C140" s="1" t="s">
        <v>1410</v>
      </c>
      <c r="D140" s="22" t="s">
        <v>481</v>
      </c>
      <c r="E140" s="22" t="s">
        <v>32</v>
      </c>
      <c r="F140" s="22" t="s">
        <v>1005</v>
      </c>
      <c r="G140" s="23" t="s">
        <v>32</v>
      </c>
      <c r="H140" s="23" t="s">
        <v>32</v>
      </c>
      <c r="I140" s="23" t="s">
        <v>32</v>
      </c>
      <c r="J140" s="23" t="s">
        <v>62</v>
      </c>
      <c r="K140" s="22" t="s">
        <v>59</v>
      </c>
      <c r="L140" s="22" t="s">
        <v>468</v>
      </c>
      <c r="M140" s="22" t="s">
        <v>32</v>
      </c>
      <c r="N140" s="22" t="s">
        <v>32</v>
      </c>
      <c r="O140" s="23" t="s">
        <v>1006</v>
      </c>
      <c r="P140" s="23" t="s">
        <v>59</v>
      </c>
      <c r="Q140" s="22" t="s">
        <v>32</v>
      </c>
      <c r="R140" s="22" t="s">
        <v>32</v>
      </c>
      <c r="S140" s="22" t="s">
        <v>32</v>
      </c>
      <c r="T140" s="23" t="s">
        <v>42</v>
      </c>
      <c r="U140" s="22" t="s">
        <v>32</v>
      </c>
      <c r="V140" s="22" t="s">
        <v>167</v>
      </c>
      <c r="W140" s="23" t="s">
        <v>32</v>
      </c>
      <c r="X140" s="22" t="s">
        <v>167</v>
      </c>
      <c r="Y140" s="22" t="s">
        <v>32</v>
      </c>
      <c r="Z140" s="22">
        <v>4.5999999999999996</v>
      </c>
      <c r="AA140" s="22" t="s">
        <v>1007</v>
      </c>
      <c r="AB140" s="1" t="s">
        <v>1008</v>
      </c>
      <c r="AC140" s="1" t="s">
        <v>106</v>
      </c>
      <c r="AD140" s="1" t="s">
        <v>1014</v>
      </c>
      <c r="AE140" s="1" t="s">
        <v>1018</v>
      </c>
      <c r="AF140" s="1" t="s">
        <v>1019</v>
      </c>
      <c r="AG140" s="1">
        <v>58</v>
      </c>
      <c r="AH140" s="1" t="s">
        <v>1020</v>
      </c>
      <c r="AI140" s="1" t="s">
        <v>476</v>
      </c>
      <c r="AJ140" s="1" t="s">
        <v>1011</v>
      </c>
      <c r="AK140" s="1" t="s">
        <v>74</v>
      </c>
      <c r="AL140" s="1">
        <v>-273</v>
      </c>
      <c r="AM140" s="1" t="s">
        <v>1012</v>
      </c>
      <c r="AN140" s="1" t="s">
        <v>1013</v>
      </c>
      <c r="AO140" s="1" t="s">
        <v>631</v>
      </c>
      <c r="AP140" s="1" t="s">
        <v>137</v>
      </c>
      <c r="AQ140" s="1" t="s">
        <v>113</v>
      </c>
      <c r="AR140" s="1" t="s">
        <v>137</v>
      </c>
      <c r="AS140" s="1" t="s">
        <v>113</v>
      </c>
      <c r="AT140" s="1" t="s">
        <v>57</v>
      </c>
      <c r="AU140" s="1"/>
    </row>
    <row r="141" spans="2:47" ht="18" customHeight="1" x14ac:dyDescent="0.2">
      <c r="B141" s="29" t="s">
        <v>1311</v>
      </c>
      <c r="C141" s="27" t="s">
        <v>1409</v>
      </c>
      <c r="D141" s="22" t="s">
        <v>920</v>
      </c>
      <c r="E141" s="22" t="s">
        <v>32</v>
      </c>
      <c r="F141" s="22" t="s">
        <v>1021</v>
      </c>
      <c r="G141" s="23" t="s">
        <v>32</v>
      </c>
      <c r="H141" s="23" t="s">
        <v>32</v>
      </c>
      <c r="I141" s="23" t="s">
        <v>32</v>
      </c>
      <c r="J141" s="23" t="s">
        <v>59</v>
      </c>
      <c r="K141" s="22" t="s">
        <v>226</v>
      </c>
      <c r="L141" s="22" t="s">
        <v>40</v>
      </c>
      <c r="M141" s="22" t="s">
        <v>32</v>
      </c>
      <c r="N141" s="22" t="s">
        <v>32</v>
      </c>
      <c r="O141" s="23" t="s">
        <v>83</v>
      </c>
      <c r="P141" s="23" t="s">
        <v>80</v>
      </c>
      <c r="Q141" s="22" t="s">
        <v>32</v>
      </c>
      <c r="R141" s="22" t="s">
        <v>32</v>
      </c>
      <c r="S141" s="22" t="s">
        <v>32</v>
      </c>
      <c r="T141" s="23" t="s">
        <v>167</v>
      </c>
      <c r="U141" s="22" t="s">
        <v>32</v>
      </c>
      <c r="V141" s="22" t="s">
        <v>59</v>
      </c>
      <c r="W141" s="23" t="s">
        <v>32</v>
      </c>
      <c r="X141" s="22" t="s">
        <v>42</v>
      </c>
      <c r="Y141" s="22" t="s">
        <v>32</v>
      </c>
      <c r="Z141" s="22">
        <v>5.8</v>
      </c>
      <c r="AA141" s="22" t="s">
        <v>395</v>
      </c>
      <c r="AB141" s="1" t="s">
        <v>1022</v>
      </c>
      <c r="AC141" s="1" t="s">
        <v>1023</v>
      </c>
      <c r="AD141" s="1" t="s">
        <v>1024</v>
      </c>
      <c r="AE141" s="1" t="s">
        <v>1025</v>
      </c>
      <c r="AF141" s="1" t="s">
        <v>190</v>
      </c>
      <c r="AG141" s="1" t="s">
        <v>32</v>
      </c>
      <c r="AH141" s="1" t="s">
        <v>1026</v>
      </c>
      <c r="AI141" s="1" t="s">
        <v>524</v>
      </c>
      <c r="AJ141" s="1" t="s">
        <v>983</v>
      </c>
      <c r="AK141" s="1" t="s">
        <v>426</v>
      </c>
      <c r="AL141" s="1">
        <v>-273</v>
      </c>
      <c r="AM141" s="1" t="s">
        <v>963</v>
      </c>
      <c r="AN141" s="1" t="s">
        <v>1027</v>
      </c>
      <c r="AO141" s="1" t="s">
        <v>497</v>
      </c>
      <c r="AP141" s="1" t="s">
        <v>137</v>
      </c>
      <c r="AQ141" s="1" t="s">
        <v>113</v>
      </c>
      <c r="AR141" s="1" t="s">
        <v>137</v>
      </c>
      <c r="AS141" s="1" t="s">
        <v>78</v>
      </c>
      <c r="AT141" s="1" t="s">
        <v>57</v>
      </c>
      <c r="AU141" s="1"/>
    </row>
    <row r="142" spans="2:47" ht="18" customHeight="1" x14ac:dyDescent="0.2">
      <c r="B142" s="29" t="s">
        <v>1311</v>
      </c>
      <c r="C142" s="27" t="s">
        <v>1409</v>
      </c>
      <c r="D142" s="22" t="s">
        <v>487</v>
      </c>
      <c r="E142" s="22" t="s">
        <v>32</v>
      </c>
      <c r="F142" s="22" t="s">
        <v>1021</v>
      </c>
      <c r="G142" s="23" t="s">
        <v>32</v>
      </c>
      <c r="H142" s="23" t="s">
        <v>32</v>
      </c>
      <c r="I142" s="23" t="s">
        <v>32</v>
      </c>
      <c r="J142" s="23" t="s">
        <v>59</v>
      </c>
      <c r="K142" s="22" t="s">
        <v>226</v>
      </c>
      <c r="L142" s="22" t="s">
        <v>40</v>
      </c>
      <c r="M142" s="22" t="s">
        <v>32</v>
      </c>
      <c r="N142" s="22" t="s">
        <v>32</v>
      </c>
      <c r="O142" s="23" t="s">
        <v>83</v>
      </c>
      <c r="P142" s="23" t="s">
        <v>80</v>
      </c>
      <c r="Q142" s="22" t="s">
        <v>32</v>
      </c>
      <c r="R142" s="22" t="s">
        <v>32</v>
      </c>
      <c r="S142" s="22" t="s">
        <v>32</v>
      </c>
      <c r="T142" s="23" t="s">
        <v>167</v>
      </c>
      <c r="U142" s="22" t="s">
        <v>32</v>
      </c>
      <c r="V142" s="22" t="s">
        <v>59</v>
      </c>
      <c r="W142" s="23" t="s">
        <v>32</v>
      </c>
      <c r="X142" s="22" t="s">
        <v>42</v>
      </c>
      <c r="Y142" s="22" t="s">
        <v>32</v>
      </c>
      <c r="Z142" s="22">
        <v>5.8</v>
      </c>
      <c r="AA142" s="22" t="s">
        <v>395</v>
      </c>
      <c r="AB142" s="1" t="s">
        <v>1022</v>
      </c>
      <c r="AC142" s="1" t="s">
        <v>1028</v>
      </c>
      <c r="AD142" s="1" t="s">
        <v>1029</v>
      </c>
      <c r="AE142" s="1" t="s">
        <v>456</v>
      </c>
      <c r="AF142" s="1" t="s">
        <v>106</v>
      </c>
      <c r="AG142" s="1" t="s">
        <v>32</v>
      </c>
      <c r="AH142" s="1" t="s">
        <v>1030</v>
      </c>
      <c r="AI142" s="1" t="s">
        <v>524</v>
      </c>
      <c r="AJ142" s="1" t="s">
        <v>983</v>
      </c>
      <c r="AK142" s="1" t="s">
        <v>426</v>
      </c>
      <c r="AL142" s="1">
        <v>-273</v>
      </c>
      <c r="AM142" s="1" t="s">
        <v>963</v>
      </c>
      <c r="AN142" s="1" t="s">
        <v>1027</v>
      </c>
      <c r="AO142" s="1" t="s">
        <v>497</v>
      </c>
      <c r="AP142" s="1" t="s">
        <v>137</v>
      </c>
      <c r="AQ142" s="1" t="s">
        <v>113</v>
      </c>
      <c r="AR142" s="1" t="s">
        <v>137</v>
      </c>
      <c r="AS142" s="1" t="s">
        <v>78</v>
      </c>
      <c r="AT142" s="1" t="s">
        <v>57</v>
      </c>
      <c r="AU142" s="1"/>
    </row>
    <row r="143" spans="2:47" ht="18" customHeight="1" x14ac:dyDescent="0.2">
      <c r="B143" s="29" t="s">
        <v>1311</v>
      </c>
      <c r="C143" s="27" t="s">
        <v>1409</v>
      </c>
      <c r="D143" s="22" t="s">
        <v>467</v>
      </c>
      <c r="E143" s="22" t="s">
        <v>32</v>
      </c>
      <c r="F143" s="22" t="s">
        <v>1021</v>
      </c>
      <c r="G143" s="23" t="s">
        <v>32</v>
      </c>
      <c r="H143" s="23" t="s">
        <v>32</v>
      </c>
      <c r="I143" s="23" t="s">
        <v>32</v>
      </c>
      <c r="J143" s="23" t="s">
        <v>59</v>
      </c>
      <c r="K143" s="22" t="s">
        <v>226</v>
      </c>
      <c r="L143" s="22" t="s">
        <v>40</v>
      </c>
      <c r="M143" s="22" t="s">
        <v>32</v>
      </c>
      <c r="N143" s="22" t="s">
        <v>32</v>
      </c>
      <c r="O143" s="23" t="s">
        <v>83</v>
      </c>
      <c r="P143" s="23" t="s">
        <v>80</v>
      </c>
      <c r="Q143" s="22" t="s">
        <v>32</v>
      </c>
      <c r="R143" s="22" t="s">
        <v>32</v>
      </c>
      <c r="S143" s="22" t="s">
        <v>32</v>
      </c>
      <c r="T143" s="23" t="s">
        <v>167</v>
      </c>
      <c r="U143" s="22" t="s">
        <v>32</v>
      </c>
      <c r="V143" s="22" t="s">
        <v>59</v>
      </c>
      <c r="W143" s="23" t="s">
        <v>32</v>
      </c>
      <c r="X143" s="22" t="s">
        <v>42</v>
      </c>
      <c r="Y143" s="22" t="s">
        <v>32</v>
      </c>
      <c r="Z143" s="22">
        <v>5.8</v>
      </c>
      <c r="AA143" s="22" t="s">
        <v>395</v>
      </c>
      <c r="AB143" s="1" t="s">
        <v>704</v>
      </c>
      <c r="AC143" s="1" t="s">
        <v>1031</v>
      </c>
      <c r="AD143" s="1" t="s">
        <v>1032</v>
      </c>
      <c r="AE143" s="1" t="s">
        <v>861</v>
      </c>
      <c r="AF143" s="1" t="s">
        <v>1012</v>
      </c>
      <c r="AG143" s="1">
        <v>119</v>
      </c>
      <c r="AH143" s="1" t="s">
        <v>1033</v>
      </c>
      <c r="AI143" s="1" t="s">
        <v>524</v>
      </c>
      <c r="AJ143" s="1" t="s">
        <v>1034</v>
      </c>
      <c r="AK143" s="1" t="s">
        <v>426</v>
      </c>
      <c r="AL143" s="1">
        <v>-273</v>
      </c>
      <c r="AM143" s="1" t="s">
        <v>963</v>
      </c>
      <c r="AN143" s="1" t="s">
        <v>1035</v>
      </c>
      <c r="AO143" s="1" t="s">
        <v>497</v>
      </c>
      <c r="AP143" s="1" t="s">
        <v>137</v>
      </c>
      <c r="AQ143" s="1" t="s">
        <v>113</v>
      </c>
      <c r="AR143" s="1" t="s">
        <v>137</v>
      </c>
      <c r="AS143" s="1" t="s">
        <v>78</v>
      </c>
      <c r="AT143" s="1" t="s">
        <v>57</v>
      </c>
      <c r="AU143" s="1"/>
    </row>
    <row r="144" spans="2:47" ht="18" customHeight="1" x14ac:dyDescent="0.2">
      <c r="B144" s="29" t="s">
        <v>1311</v>
      </c>
      <c r="C144" s="27" t="s">
        <v>1409</v>
      </c>
      <c r="D144" s="22" t="s">
        <v>856</v>
      </c>
      <c r="E144" s="22" t="s">
        <v>32</v>
      </c>
      <c r="F144" s="22" t="s">
        <v>1021</v>
      </c>
      <c r="G144" s="23" t="s">
        <v>32</v>
      </c>
      <c r="H144" s="23" t="s">
        <v>32</v>
      </c>
      <c r="I144" s="23" t="s">
        <v>32</v>
      </c>
      <c r="J144" s="23" t="s">
        <v>59</v>
      </c>
      <c r="K144" s="22" t="s">
        <v>226</v>
      </c>
      <c r="L144" s="22" t="s">
        <v>40</v>
      </c>
      <c r="M144" s="22" t="s">
        <v>32</v>
      </c>
      <c r="N144" s="22" t="s">
        <v>32</v>
      </c>
      <c r="O144" s="23" t="s">
        <v>83</v>
      </c>
      <c r="P144" s="23" t="s">
        <v>80</v>
      </c>
      <c r="Q144" s="22" t="s">
        <v>32</v>
      </c>
      <c r="R144" s="22" t="s">
        <v>32</v>
      </c>
      <c r="S144" s="22" t="s">
        <v>32</v>
      </c>
      <c r="T144" s="23" t="s">
        <v>167</v>
      </c>
      <c r="U144" s="22" t="s">
        <v>32</v>
      </c>
      <c r="V144" s="22" t="s">
        <v>59</v>
      </c>
      <c r="W144" s="23" t="s">
        <v>32</v>
      </c>
      <c r="X144" s="22" t="s">
        <v>42</v>
      </c>
      <c r="Y144" s="22" t="s">
        <v>32</v>
      </c>
      <c r="Z144" s="22">
        <v>5.8</v>
      </c>
      <c r="AA144" s="22" t="s">
        <v>395</v>
      </c>
      <c r="AB144" s="1" t="s">
        <v>704</v>
      </c>
      <c r="AC144" s="1" t="s">
        <v>1036</v>
      </c>
      <c r="AD144" s="1" t="s">
        <v>1037</v>
      </c>
      <c r="AE144" s="1" t="s">
        <v>1015</v>
      </c>
      <c r="AF144" s="1" t="s">
        <v>909</v>
      </c>
      <c r="AG144" s="1" t="s">
        <v>32</v>
      </c>
      <c r="AH144" s="1" t="s">
        <v>1038</v>
      </c>
      <c r="AI144" s="1" t="s">
        <v>524</v>
      </c>
      <c r="AJ144" s="1" t="s">
        <v>1034</v>
      </c>
      <c r="AK144" s="1" t="s">
        <v>426</v>
      </c>
      <c r="AL144" s="1">
        <v>-273</v>
      </c>
      <c r="AM144" s="1" t="s">
        <v>963</v>
      </c>
      <c r="AN144" s="1" t="s">
        <v>1035</v>
      </c>
      <c r="AO144" s="1" t="s">
        <v>497</v>
      </c>
      <c r="AP144" s="1" t="s">
        <v>137</v>
      </c>
      <c r="AQ144" s="1" t="s">
        <v>113</v>
      </c>
      <c r="AR144" s="1" t="s">
        <v>137</v>
      </c>
      <c r="AS144" s="1" t="s">
        <v>78</v>
      </c>
      <c r="AT144" s="1" t="s">
        <v>57</v>
      </c>
      <c r="AU144" s="1"/>
    </row>
    <row r="145" spans="2:47" ht="18" customHeight="1" x14ac:dyDescent="0.2">
      <c r="B145" s="29" t="s">
        <v>1311</v>
      </c>
      <c r="C145" s="27" t="s">
        <v>1409</v>
      </c>
      <c r="D145" s="22" t="s">
        <v>1004</v>
      </c>
      <c r="E145" s="22" t="s">
        <v>32</v>
      </c>
      <c r="F145" s="22" t="s">
        <v>1021</v>
      </c>
      <c r="G145" s="23" t="s">
        <v>32</v>
      </c>
      <c r="H145" s="23" t="s">
        <v>32</v>
      </c>
      <c r="I145" s="23" t="s">
        <v>32</v>
      </c>
      <c r="J145" s="23" t="s">
        <v>59</v>
      </c>
      <c r="K145" s="22" t="s">
        <v>226</v>
      </c>
      <c r="L145" s="22" t="s">
        <v>40</v>
      </c>
      <c r="M145" s="22" t="s">
        <v>32</v>
      </c>
      <c r="N145" s="22" t="s">
        <v>32</v>
      </c>
      <c r="O145" s="23" t="s">
        <v>83</v>
      </c>
      <c r="P145" s="23" t="s">
        <v>80</v>
      </c>
      <c r="Q145" s="22" t="s">
        <v>32</v>
      </c>
      <c r="R145" s="22" t="s">
        <v>32</v>
      </c>
      <c r="S145" s="22" t="s">
        <v>32</v>
      </c>
      <c r="T145" s="23" t="s">
        <v>167</v>
      </c>
      <c r="U145" s="22" t="s">
        <v>32</v>
      </c>
      <c r="V145" s="22" t="s">
        <v>59</v>
      </c>
      <c r="W145" s="23" t="s">
        <v>32</v>
      </c>
      <c r="X145" s="22" t="s">
        <v>42</v>
      </c>
      <c r="Y145" s="22" t="s">
        <v>32</v>
      </c>
      <c r="Z145" s="22">
        <v>5.8</v>
      </c>
      <c r="AA145" s="22" t="s">
        <v>395</v>
      </c>
      <c r="AB145" s="1" t="s">
        <v>704</v>
      </c>
      <c r="AC145" s="1" t="s">
        <v>765</v>
      </c>
      <c r="AD145" s="1" t="s">
        <v>1039</v>
      </c>
      <c r="AE145" s="1" t="s">
        <v>1040</v>
      </c>
      <c r="AF145" s="1" t="s">
        <v>1041</v>
      </c>
      <c r="AG145" s="1" t="s">
        <v>32</v>
      </c>
      <c r="AH145" s="1" t="s">
        <v>1042</v>
      </c>
      <c r="AI145" s="1" t="s">
        <v>524</v>
      </c>
      <c r="AJ145" s="1" t="s">
        <v>1034</v>
      </c>
      <c r="AK145" s="1" t="s">
        <v>426</v>
      </c>
      <c r="AL145" s="1">
        <v>-273</v>
      </c>
      <c r="AM145" s="1" t="s">
        <v>963</v>
      </c>
      <c r="AN145" s="1" t="s">
        <v>1035</v>
      </c>
      <c r="AO145" s="1" t="s">
        <v>497</v>
      </c>
      <c r="AP145" s="1" t="s">
        <v>137</v>
      </c>
      <c r="AQ145" s="1" t="s">
        <v>113</v>
      </c>
      <c r="AR145" s="1" t="s">
        <v>137</v>
      </c>
      <c r="AS145" s="1" t="s">
        <v>78</v>
      </c>
      <c r="AT145" s="1" t="s">
        <v>57</v>
      </c>
      <c r="AU145" s="1"/>
    </row>
    <row r="146" spans="2:47" ht="18" customHeight="1" x14ac:dyDescent="0.2">
      <c r="B146" s="29" t="s">
        <v>1311</v>
      </c>
      <c r="C146" s="27" t="s">
        <v>1409</v>
      </c>
      <c r="D146" s="22" t="s">
        <v>481</v>
      </c>
      <c r="E146" s="22" t="s">
        <v>32</v>
      </c>
      <c r="F146" s="22" t="s">
        <v>1021</v>
      </c>
      <c r="G146" s="23" t="s">
        <v>32</v>
      </c>
      <c r="H146" s="23" t="s">
        <v>32</v>
      </c>
      <c r="I146" s="23" t="s">
        <v>32</v>
      </c>
      <c r="J146" s="23" t="s">
        <v>59</v>
      </c>
      <c r="K146" s="22" t="s">
        <v>226</v>
      </c>
      <c r="L146" s="22" t="s">
        <v>40</v>
      </c>
      <c r="M146" s="22" t="s">
        <v>32</v>
      </c>
      <c r="N146" s="22" t="s">
        <v>32</v>
      </c>
      <c r="O146" s="23" t="s">
        <v>83</v>
      </c>
      <c r="P146" s="23" t="s">
        <v>80</v>
      </c>
      <c r="Q146" s="22" t="s">
        <v>32</v>
      </c>
      <c r="R146" s="22" t="s">
        <v>32</v>
      </c>
      <c r="S146" s="22" t="s">
        <v>32</v>
      </c>
      <c r="T146" s="23" t="s">
        <v>167</v>
      </c>
      <c r="U146" s="22" t="s">
        <v>32</v>
      </c>
      <c r="V146" s="22" t="s">
        <v>59</v>
      </c>
      <c r="W146" s="23" t="s">
        <v>32</v>
      </c>
      <c r="X146" s="22" t="s">
        <v>42</v>
      </c>
      <c r="Y146" s="22" t="s">
        <v>32</v>
      </c>
      <c r="Z146" s="22">
        <v>5.8</v>
      </c>
      <c r="AA146" s="22" t="s">
        <v>395</v>
      </c>
      <c r="AB146" s="1" t="s">
        <v>1043</v>
      </c>
      <c r="AC146" s="1" t="s">
        <v>1044</v>
      </c>
      <c r="AD146" s="1" t="s">
        <v>295</v>
      </c>
      <c r="AE146" s="1" t="s">
        <v>538</v>
      </c>
      <c r="AF146" s="1" t="s">
        <v>1045</v>
      </c>
      <c r="AG146" s="1">
        <v>69</v>
      </c>
      <c r="AH146" s="1">
        <v>138</v>
      </c>
      <c r="AI146" s="1" t="s">
        <v>524</v>
      </c>
      <c r="AJ146" s="1" t="s">
        <v>1046</v>
      </c>
      <c r="AK146" s="1" t="s">
        <v>426</v>
      </c>
      <c r="AL146" s="1">
        <v>-273</v>
      </c>
      <c r="AM146" s="1" t="s">
        <v>971</v>
      </c>
      <c r="AN146" s="1" t="s">
        <v>1035</v>
      </c>
      <c r="AO146" s="1" t="s">
        <v>1047</v>
      </c>
      <c r="AP146" s="1" t="s">
        <v>137</v>
      </c>
      <c r="AQ146" s="1" t="s">
        <v>113</v>
      </c>
      <c r="AR146" s="1" t="s">
        <v>137</v>
      </c>
      <c r="AS146" s="1" t="s">
        <v>78</v>
      </c>
      <c r="AT146" s="1" t="s">
        <v>57</v>
      </c>
      <c r="AU146" s="1"/>
    </row>
    <row r="147" spans="2:47" ht="18" customHeight="1" x14ac:dyDescent="0.2">
      <c r="B147" s="16" t="s">
        <v>1361</v>
      </c>
      <c r="C147" s="1" t="s">
        <v>1408</v>
      </c>
      <c r="D147" s="22" t="s">
        <v>502</v>
      </c>
      <c r="E147" s="22" t="s">
        <v>32</v>
      </c>
      <c r="F147" s="22" t="s">
        <v>1048</v>
      </c>
      <c r="G147" s="23" t="s">
        <v>32</v>
      </c>
      <c r="H147" s="23" t="s">
        <v>32</v>
      </c>
      <c r="I147" s="23" t="s">
        <v>32</v>
      </c>
      <c r="J147" s="23" t="s">
        <v>226</v>
      </c>
      <c r="K147" s="22" t="s">
        <v>226</v>
      </c>
      <c r="L147" s="22" t="s">
        <v>98</v>
      </c>
      <c r="M147" s="22" t="s">
        <v>32</v>
      </c>
      <c r="N147" s="22" t="s">
        <v>32</v>
      </c>
      <c r="O147" s="23" t="s">
        <v>1049</v>
      </c>
      <c r="P147" s="23" t="s">
        <v>793</v>
      </c>
      <c r="Q147" s="22" t="s">
        <v>32</v>
      </c>
      <c r="R147" s="22" t="s">
        <v>32</v>
      </c>
      <c r="S147" s="22" t="s">
        <v>32</v>
      </c>
      <c r="T147" s="23" t="s">
        <v>468</v>
      </c>
      <c r="U147" s="22" t="s">
        <v>32</v>
      </c>
      <c r="V147" s="22" t="s">
        <v>226</v>
      </c>
      <c r="W147" s="23" t="s">
        <v>32</v>
      </c>
      <c r="X147" s="22" t="s">
        <v>226</v>
      </c>
      <c r="Y147" s="22" t="s">
        <v>32</v>
      </c>
      <c r="Z147" s="22">
        <v>3.45</v>
      </c>
      <c r="AA147" s="22" t="s">
        <v>914</v>
      </c>
      <c r="AB147" s="1" t="s">
        <v>1050</v>
      </c>
      <c r="AC147" s="1" t="s">
        <v>1051</v>
      </c>
      <c r="AD147" s="1" t="s">
        <v>363</v>
      </c>
      <c r="AE147" s="1" t="s">
        <v>1015</v>
      </c>
      <c r="AF147" s="1" t="s">
        <v>1052</v>
      </c>
      <c r="AG147" s="1">
        <v>64</v>
      </c>
      <c r="AH147" s="1" t="s">
        <v>1053</v>
      </c>
      <c r="AI147" s="1" t="s">
        <v>476</v>
      </c>
      <c r="AJ147" s="1" t="s">
        <v>541</v>
      </c>
      <c r="AK147" s="1" t="s">
        <v>74</v>
      </c>
      <c r="AL147" s="1">
        <v>-273</v>
      </c>
      <c r="AM147" s="1" t="s">
        <v>1054</v>
      </c>
      <c r="AN147" s="1" t="s">
        <v>1013</v>
      </c>
      <c r="AO147" s="1" t="s">
        <v>582</v>
      </c>
      <c r="AP147" s="1" t="s">
        <v>113</v>
      </c>
      <c r="AQ147" s="1" t="s">
        <v>78</v>
      </c>
      <c r="AR147" s="1" t="s">
        <v>113</v>
      </c>
      <c r="AS147" s="1" t="s">
        <v>78</v>
      </c>
      <c r="AT147" s="1" t="s">
        <v>57</v>
      </c>
      <c r="AU147" s="1"/>
    </row>
    <row r="148" spans="2:47" ht="18" customHeight="1" x14ac:dyDescent="0.2">
      <c r="B148" s="16" t="s">
        <v>1361</v>
      </c>
      <c r="C148" s="1" t="s">
        <v>1408</v>
      </c>
      <c r="D148" s="22" t="s">
        <v>487</v>
      </c>
      <c r="E148" s="22" t="s">
        <v>32</v>
      </c>
      <c r="F148" s="22" t="s">
        <v>1048</v>
      </c>
      <c r="G148" s="23" t="s">
        <v>32</v>
      </c>
      <c r="H148" s="23" t="s">
        <v>32</v>
      </c>
      <c r="I148" s="23" t="s">
        <v>32</v>
      </c>
      <c r="J148" s="23" t="s">
        <v>226</v>
      </c>
      <c r="K148" s="22" t="s">
        <v>226</v>
      </c>
      <c r="L148" s="22" t="s">
        <v>98</v>
      </c>
      <c r="M148" s="22" t="s">
        <v>32</v>
      </c>
      <c r="N148" s="22" t="s">
        <v>32</v>
      </c>
      <c r="O148" s="23" t="s">
        <v>1049</v>
      </c>
      <c r="P148" s="23" t="s">
        <v>793</v>
      </c>
      <c r="Q148" s="22" t="s">
        <v>32</v>
      </c>
      <c r="R148" s="22" t="s">
        <v>32</v>
      </c>
      <c r="S148" s="22" t="s">
        <v>32</v>
      </c>
      <c r="T148" s="23" t="s">
        <v>468</v>
      </c>
      <c r="U148" s="22" t="s">
        <v>32</v>
      </c>
      <c r="V148" s="22" t="s">
        <v>226</v>
      </c>
      <c r="W148" s="23" t="s">
        <v>32</v>
      </c>
      <c r="X148" s="22" t="s">
        <v>226</v>
      </c>
      <c r="Y148" s="22" t="s">
        <v>32</v>
      </c>
      <c r="Z148" s="22">
        <v>3.45</v>
      </c>
      <c r="AA148" s="22" t="s">
        <v>914</v>
      </c>
      <c r="AB148" s="1" t="s">
        <v>1050</v>
      </c>
      <c r="AC148" s="1" t="s">
        <v>377</v>
      </c>
      <c r="AD148" s="1" t="s">
        <v>295</v>
      </c>
      <c r="AE148" s="1" t="s">
        <v>204</v>
      </c>
      <c r="AF148" s="1" t="s">
        <v>483</v>
      </c>
      <c r="AG148" s="1">
        <v>79</v>
      </c>
      <c r="AH148" s="1" t="s">
        <v>1055</v>
      </c>
      <c r="AI148" s="1" t="s">
        <v>1056</v>
      </c>
      <c r="AJ148" s="1" t="s">
        <v>541</v>
      </c>
      <c r="AK148" s="1" t="s">
        <v>74</v>
      </c>
      <c r="AL148" s="1">
        <v>-273</v>
      </c>
      <c r="AM148" s="1" t="s">
        <v>1054</v>
      </c>
      <c r="AN148" s="1" t="s">
        <v>1013</v>
      </c>
      <c r="AO148" s="1" t="s">
        <v>582</v>
      </c>
      <c r="AP148" s="1" t="s">
        <v>113</v>
      </c>
      <c r="AQ148" s="1" t="s">
        <v>78</v>
      </c>
      <c r="AR148" s="1" t="s">
        <v>113</v>
      </c>
      <c r="AS148" s="1" t="s">
        <v>78</v>
      </c>
      <c r="AT148" s="1" t="s">
        <v>57</v>
      </c>
      <c r="AU148" s="1"/>
    </row>
    <row r="149" spans="2:47" ht="18" customHeight="1" x14ac:dyDescent="0.2">
      <c r="B149" s="16" t="s">
        <v>1361</v>
      </c>
      <c r="C149" s="1" t="s">
        <v>1408</v>
      </c>
      <c r="D149" s="22" t="s">
        <v>481</v>
      </c>
      <c r="E149" s="22" t="s">
        <v>32</v>
      </c>
      <c r="F149" s="22" t="s">
        <v>1048</v>
      </c>
      <c r="G149" s="23" t="s">
        <v>32</v>
      </c>
      <c r="H149" s="23" t="s">
        <v>32</v>
      </c>
      <c r="I149" s="23" t="s">
        <v>32</v>
      </c>
      <c r="J149" s="23" t="s">
        <v>226</v>
      </c>
      <c r="K149" s="22" t="s">
        <v>226</v>
      </c>
      <c r="L149" s="22" t="s">
        <v>98</v>
      </c>
      <c r="M149" s="22" t="s">
        <v>32</v>
      </c>
      <c r="N149" s="22" t="s">
        <v>32</v>
      </c>
      <c r="O149" s="23" t="s">
        <v>1049</v>
      </c>
      <c r="P149" s="23" t="s">
        <v>793</v>
      </c>
      <c r="Q149" s="22" t="s">
        <v>32</v>
      </c>
      <c r="R149" s="22" t="s">
        <v>32</v>
      </c>
      <c r="S149" s="22" t="s">
        <v>32</v>
      </c>
      <c r="T149" s="23" t="s">
        <v>468</v>
      </c>
      <c r="U149" s="22" t="s">
        <v>32</v>
      </c>
      <c r="V149" s="22" t="s">
        <v>226</v>
      </c>
      <c r="W149" s="23" t="s">
        <v>32</v>
      </c>
      <c r="X149" s="22" t="s">
        <v>226</v>
      </c>
      <c r="Y149" s="22" t="s">
        <v>32</v>
      </c>
      <c r="Z149" s="22">
        <v>3.45</v>
      </c>
      <c r="AA149" s="22" t="s">
        <v>914</v>
      </c>
      <c r="AB149" s="1" t="s">
        <v>1050</v>
      </c>
      <c r="AC149" s="1" t="s">
        <v>1057</v>
      </c>
      <c r="AD149" s="1" t="s">
        <v>1058</v>
      </c>
      <c r="AE149" s="1" t="s">
        <v>1059</v>
      </c>
      <c r="AF149" s="1" t="s">
        <v>1060</v>
      </c>
      <c r="AG149" s="1">
        <v>44</v>
      </c>
      <c r="AH149" s="1" t="s">
        <v>1061</v>
      </c>
      <c r="AI149" s="1" t="s">
        <v>1062</v>
      </c>
      <c r="AJ149" s="1" t="s">
        <v>541</v>
      </c>
      <c r="AK149" s="1" t="s">
        <v>74</v>
      </c>
      <c r="AL149" s="1">
        <v>-273</v>
      </c>
      <c r="AM149" s="1" t="s">
        <v>1054</v>
      </c>
      <c r="AN149" s="1" t="s">
        <v>1013</v>
      </c>
      <c r="AO149" s="1" t="s">
        <v>582</v>
      </c>
      <c r="AP149" s="1" t="s">
        <v>113</v>
      </c>
      <c r="AQ149" s="1" t="s">
        <v>78</v>
      </c>
      <c r="AR149" s="1" t="s">
        <v>113</v>
      </c>
      <c r="AS149" s="1" t="s">
        <v>78</v>
      </c>
      <c r="AT149" s="1" t="s">
        <v>57</v>
      </c>
      <c r="AU149" s="1"/>
    </row>
    <row r="150" spans="2:47" ht="18" customHeight="1" x14ac:dyDescent="0.2">
      <c r="B150" s="16" t="s">
        <v>1362</v>
      </c>
      <c r="C150" s="1" t="s">
        <v>1407</v>
      </c>
      <c r="D150" s="22" t="s">
        <v>1063</v>
      </c>
      <c r="E150" s="22" t="s">
        <v>32</v>
      </c>
      <c r="F150" s="22" t="s">
        <v>1064</v>
      </c>
      <c r="G150" s="23" t="s">
        <v>32</v>
      </c>
      <c r="H150" s="23" t="s">
        <v>32</v>
      </c>
      <c r="I150" s="23" t="s">
        <v>32</v>
      </c>
      <c r="J150" s="23" t="s">
        <v>1065</v>
      </c>
      <c r="K150" s="22" t="s">
        <v>59</v>
      </c>
      <c r="L150" s="22" t="s">
        <v>468</v>
      </c>
      <c r="M150" s="22" t="s">
        <v>32</v>
      </c>
      <c r="N150" s="22" t="s">
        <v>32</v>
      </c>
      <c r="O150" s="23" t="s">
        <v>1066</v>
      </c>
      <c r="P150" s="23" t="s">
        <v>1067</v>
      </c>
      <c r="Q150" s="22" t="s">
        <v>32</v>
      </c>
      <c r="R150" s="22" t="s">
        <v>32</v>
      </c>
      <c r="S150" s="22" t="s">
        <v>32</v>
      </c>
      <c r="T150" s="23" t="s">
        <v>42</v>
      </c>
      <c r="U150" s="22" t="s">
        <v>32</v>
      </c>
      <c r="V150" s="22" t="s">
        <v>167</v>
      </c>
      <c r="W150" s="23" t="s">
        <v>32</v>
      </c>
      <c r="X150" s="22" t="s">
        <v>42</v>
      </c>
      <c r="Y150" s="22" t="s">
        <v>32</v>
      </c>
      <c r="Z150" s="22">
        <v>4.45</v>
      </c>
      <c r="AA150" s="22" t="s">
        <v>239</v>
      </c>
      <c r="AB150" s="1" t="s">
        <v>362</v>
      </c>
      <c r="AC150" s="1" t="s">
        <v>491</v>
      </c>
      <c r="AD150" s="1" t="s">
        <v>377</v>
      </c>
      <c r="AE150" s="1" t="s">
        <v>599</v>
      </c>
      <c r="AF150" s="1" t="s">
        <v>1068</v>
      </c>
      <c r="AG150" s="1">
        <v>66</v>
      </c>
      <c r="AH150" s="1" t="s">
        <v>678</v>
      </c>
      <c r="AI150" s="1" t="s">
        <v>1069</v>
      </c>
      <c r="AJ150" s="1" t="s">
        <v>1070</v>
      </c>
      <c r="AK150" s="1" t="s">
        <v>74</v>
      </c>
      <c r="AL150" s="1">
        <v>-273</v>
      </c>
      <c r="AM150" s="1" t="s">
        <v>604</v>
      </c>
      <c r="AN150" s="1" t="s">
        <v>180</v>
      </c>
      <c r="AO150" s="1" t="s">
        <v>964</v>
      </c>
      <c r="AP150" s="1" t="s">
        <v>113</v>
      </c>
      <c r="AQ150" s="1" t="s">
        <v>113</v>
      </c>
      <c r="AR150" s="1" t="s">
        <v>113</v>
      </c>
      <c r="AS150" s="1" t="s">
        <v>78</v>
      </c>
      <c r="AT150" s="1" t="s">
        <v>57</v>
      </c>
      <c r="AU150" s="1"/>
    </row>
    <row r="151" spans="2:47" ht="18" customHeight="1" x14ac:dyDescent="0.2">
      <c r="B151" s="16" t="s">
        <v>1362</v>
      </c>
      <c r="C151" s="1" t="s">
        <v>1407</v>
      </c>
      <c r="D151" s="22" t="s">
        <v>976</v>
      </c>
      <c r="E151" s="22" t="s">
        <v>32</v>
      </c>
      <c r="F151" s="22" t="s">
        <v>1064</v>
      </c>
      <c r="G151" s="23" t="s">
        <v>32</v>
      </c>
      <c r="H151" s="23" t="s">
        <v>32</v>
      </c>
      <c r="I151" s="23" t="s">
        <v>32</v>
      </c>
      <c r="J151" s="23" t="s">
        <v>1065</v>
      </c>
      <c r="K151" s="22" t="s">
        <v>59</v>
      </c>
      <c r="L151" s="22" t="s">
        <v>468</v>
      </c>
      <c r="M151" s="22" t="s">
        <v>32</v>
      </c>
      <c r="N151" s="22" t="s">
        <v>32</v>
      </c>
      <c r="O151" s="23" t="s">
        <v>1066</v>
      </c>
      <c r="P151" s="23" t="s">
        <v>1067</v>
      </c>
      <c r="Q151" s="22" t="s">
        <v>32</v>
      </c>
      <c r="R151" s="22" t="s">
        <v>32</v>
      </c>
      <c r="S151" s="22" t="s">
        <v>32</v>
      </c>
      <c r="T151" s="23" t="s">
        <v>42</v>
      </c>
      <c r="U151" s="22" t="s">
        <v>32</v>
      </c>
      <c r="V151" s="22" t="s">
        <v>167</v>
      </c>
      <c r="W151" s="23" t="s">
        <v>32</v>
      </c>
      <c r="X151" s="22" t="s">
        <v>42</v>
      </c>
      <c r="Y151" s="22" t="s">
        <v>32</v>
      </c>
      <c r="Z151" s="22">
        <v>4.45</v>
      </c>
      <c r="AA151" s="22" t="s">
        <v>239</v>
      </c>
      <c r="AB151" s="1" t="s">
        <v>362</v>
      </c>
      <c r="AC151" s="1" t="s">
        <v>1071</v>
      </c>
      <c r="AD151" s="1" t="s">
        <v>939</v>
      </c>
      <c r="AE151" s="1" t="s">
        <v>1072</v>
      </c>
      <c r="AF151" s="1" t="s">
        <v>1073</v>
      </c>
      <c r="AG151" s="1">
        <v>62</v>
      </c>
      <c r="AH151" s="1" t="s">
        <v>114</v>
      </c>
      <c r="AI151" s="1" t="s">
        <v>1069</v>
      </c>
      <c r="AJ151" s="1" t="s">
        <v>1070</v>
      </c>
      <c r="AK151" s="1" t="s">
        <v>74</v>
      </c>
      <c r="AL151" s="1">
        <v>-273</v>
      </c>
      <c r="AM151" s="1" t="s">
        <v>604</v>
      </c>
      <c r="AN151" s="1" t="s">
        <v>180</v>
      </c>
      <c r="AO151" s="1" t="s">
        <v>964</v>
      </c>
      <c r="AP151" s="1" t="s">
        <v>113</v>
      </c>
      <c r="AQ151" s="1" t="s">
        <v>113</v>
      </c>
      <c r="AR151" s="1" t="s">
        <v>113</v>
      </c>
      <c r="AS151" s="1" t="s">
        <v>78</v>
      </c>
      <c r="AT151" s="1" t="s">
        <v>57</v>
      </c>
      <c r="AU151" s="1"/>
    </row>
    <row r="152" spans="2:47" ht="18" customHeight="1" x14ac:dyDescent="0.2">
      <c r="B152" s="16" t="s">
        <v>1362</v>
      </c>
      <c r="C152" s="1" t="s">
        <v>1407</v>
      </c>
      <c r="D152" s="22" t="s">
        <v>1004</v>
      </c>
      <c r="E152" s="22" t="s">
        <v>32</v>
      </c>
      <c r="F152" s="22" t="s">
        <v>1064</v>
      </c>
      <c r="G152" s="23" t="s">
        <v>32</v>
      </c>
      <c r="H152" s="23" t="s">
        <v>32</v>
      </c>
      <c r="I152" s="23" t="s">
        <v>32</v>
      </c>
      <c r="J152" s="23" t="s">
        <v>1065</v>
      </c>
      <c r="K152" s="22" t="s">
        <v>59</v>
      </c>
      <c r="L152" s="22" t="s">
        <v>468</v>
      </c>
      <c r="M152" s="22" t="s">
        <v>32</v>
      </c>
      <c r="N152" s="22" t="s">
        <v>32</v>
      </c>
      <c r="O152" s="23" t="s">
        <v>1066</v>
      </c>
      <c r="P152" s="23" t="s">
        <v>1067</v>
      </c>
      <c r="Q152" s="22" t="s">
        <v>32</v>
      </c>
      <c r="R152" s="22" t="s">
        <v>32</v>
      </c>
      <c r="S152" s="22" t="s">
        <v>32</v>
      </c>
      <c r="T152" s="23" t="s">
        <v>42</v>
      </c>
      <c r="U152" s="22" t="s">
        <v>32</v>
      </c>
      <c r="V152" s="22" t="s">
        <v>167</v>
      </c>
      <c r="W152" s="23" t="s">
        <v>32</v>
      </c>
      <c r="X152" s="22" t="s">
        <v>42</v>
      </c>
      <c r="Y152" s="22" t="s">
        <v>32</v>
      </c>
      <c r="Z152" s="22">
        <v>4.45</v>
      </c>
      <c r="AA152" s="22" t="s">
        <v>239</v>
      </c>
      <c r="AB152" s="1" t="s">
        <v>1008</v>
      </c>
      <c r="AC152" s="1" t="s">
        <v>91</v>
      </c>
      <c r="AD152" s="1" t="s">
        <v>1009</v>
      </c>
      <c r="AE152" s="1" t="s">
        <v>834</v>
      </c>
      <c r="AF152" s="1" t="s">
        <v>483</v>
      </c>
      <c r="AG152" s="1">
        <v>75</v>
      </c>
      <c r="AH152" s="1" t="s">
        <v>1010</v>
      </c>
      <c r="AI152" s="1" t="s">
        <v>837</v>
      </c>
      <c r="AJ152" s="1" t="s">
        <v>1074</v>
      </c>
      <c r="AK152" s="1" t="s">
        <v>74</v>
      </c>
      <c r="AL152" s="1">
        <v>-273</v>
      </c>
      <c r="AM152" s="1" t="s">
        <v>1075</v>
      </c>
      <c r="AN152" s="1" t="s">
        <v>1013</v>
      </c>
      <c r="AO152" s="1" t="s">
        <v>582</v>
      </c>
      <c r="AP152" s="1" t="s">
        <v>113</v>
      </c>
      <c r="AQ152" s="1" t="s">
        <v>113</v>
      </c>
      <c r="AR152" s="1" t="s">
        <v>113</v>
      </c>
      <c r="AS152" s="1" t="s">
        <v>78</v>
      </c>
      <c r="AT152" s="1" t="s">
        <v>57</v>
      </c>
      <c r="AU152" s="1"/>
    </row>
    <row r="153" spans="2:47" ht="18" customHeight="1" x14ac:dyDescent="0.2">
      <c r="B153" s="16" t="s">
        <v>1362</v>
      </c>
      <c r="C153" s="1" t="s">
        <v>1407</v>
      </c>
      <c r="D153" s="22" t="s">
        <v>502</v>
      </c>
      <c r="E153" s="22" t="s">
        <v>32</v>
      </c>
      <c r="F153" s="22" t="s">
        <v>1064</v>
      </c>
      <c r="G153" s="23" t="s">
        <v>32</v>
      </c>
      <c r="H153" s="23" t="s">
        <v>32</v>
      </c>
      <c r="I153" s="23" t="s">
        <v>32</v>
      </c>
      <c r="J153" s="23" t="s">
        <v>1065</v>
      </c>
      <c r="K153" s="22" t="s">
        <v>59</v>
      </c>
      <c r="L153" s="22" t="s">
        <v>468</v>
      </c>
      <c r="M153" s="22" t="s">
        <v>32</v>
      </c>
      <c r="N153" s="22" t="s">
        <v>32</v>
      </c>
      <c r="O153" s="23" t="s">
        <v>1066</v>
      </c>
      <c r="P153" s="23" t="s">
        <v>1067</v>
      </c>
      <c r="Q153" s="22" t="s">
        <v>32</v>
      </c>
      <c r="R153" s="22" t="s">
        <v>32</v>
      </c>
      <c r="S153" s="22" t="s">
        <v>32</v>
      </c>
      <c r="T153" s="23" t="s">
        <v>42</v>
      </c>
      <c r="U153" s="22" t="s">
        <v>32</v>
      </c>
      <c r="V153" s="22" t="s">
        <v>167</v>
      </c>
      <c r="W153" s="23" t="s">
        <v>32</v>
      </c>
      <c r="X153" s="22" t="s">
        <v>42</v>
      </c>
      <c r="Y153" s="22" t="s">
        <v>32</v>
      </c>
      <c r="Z153" s="22">
        <v>4.45</v>
      </c>
      <c r="AA153" s="22" t="s">
        <v>239</v>
      </c>
      <c r="AB153" s="1" t="s">
        <v>1008</v>
      </c>
      <c r="AC153" s="1" t="s">
        <v>1014</v>
      </c>
      <c r="AD153" s="1" t="s">
        <v>296</v>
      </c>
      <c r="AE153" s="1" t="s">
        <v>1015</v>
      </c>
      <c r="AF153" s="1" t="s">
        <v>1016</v>
      </c>
      <c r="AG153" s="1">
        <v>81</v>
      </c>
      <c r="AH153" s="1" t="s">
        <v>1017</v>
      </c>
      <c r="AI153" s="1" t="s">
        <v>476</v>
      </c>
      <c r="AJ153" s="1" t="s">
        <v>1074</v>
      </c>
      <c r="AK153" s="1" t="s">
        <v>74</v>
      </c>
      <c r="AL153" s="1">
        <v>-273</v>
      </c>
      <c r="AM153" s="1" t="s">
        <v>1075</v>
      </c>
      <c r="AN153" s="1" t="s">
        <v>1013</v>
      </c>
      <c r="AO153" s="1" t="s">
        <v>582</v>
      </c>
      <c r="AP153" s="1" t="s">
        <v>113</v>
      </c>
      <c r="AQ153" s="1" t="s">
        <v>113</v>
      </c>
      <c r="AR153" s="1" t="s">
        <v>113</v>
      </c>
      <c r="AS153" s="1" t="s">
        <v>78</v>
      </c>
      <c r="AT153" s="1" t="s">
        <v>57</v>
      </c>
      <c r="AU153" s="1"/>
    </row>
    <row r="154" spans="2:47" ht="18" customHeight="1" x14ac:dyDescent="0.2">
      <c r="B154" s="16" t="s">
        <v>1362</v>
      </c>
      <c r="C154" s="1" t="s">
        <v>1407</v>
      </c>
      <c r="D154" s="22" t="s">
        <v>937</v>
      </c>
      <c r="E154" s="22" t="s">
        <v>32</v>
      </c>
      <c r="F154" s="22" t="s">
        <v>1064</v>
      </c>
      <c r="G154" s="23" t="s">
        <v>32</v>
      </c>
      <c r="H154" s="23" t="s">
        <v>32</v>
      </c>
      <c r="I154" s="23" t="s">
        <v>32</v>
      </c>
      <c r="J154" s="23" t="s">
        <v>1065</v>
      </c>
      <c r="K154" s="22" t="s">
        <v>59</v>
      </c>
      <c r="L154" s="22" t="s">
        <v>468</v>
      </c>
      <c r="M154" s="22" t="s">
        <v>32</v>
      </c>
      <c r="N154" s="22" t="s">
        <v>32</v>
      </c>
      <c r="O154" s="23" t="s">
        <v>1066</v>
      </c>
      <c r="P154" s="23" t="s">
        <v>1067</v>
      </c>
      <c r="Q154" s="22" t="s">
        <v>32</v>
      </c>
      <c r="R154" s="22" t="s">
        <v>32</v>
      </c>
      <c r="S154" s="22" t="s">
        <v>32</v>
      </c>
      <c r="T154" s="23" t="s">
        <v>42</v>
      </c>
      <c r="U154" s="22" t="s">
        <v>32</v>
      </c>
      <c r="V154" s="22" t="s">
        <v>167</v>
      </c>
      <c r="W154" s="23" t="s">
        <v>32</v>
      </c>
      <c r="X154" s="22" t="s">
        <v>42</v>
      </c>
      <c r="Y154" s="22" t="s">
        <v>32</v>
      </c>
      <c r="Z154" s="22">
        <v>4.45</v>
      </c>
      <c r="AA154" s="22" t="s">
        <v>239</v>
      </c>
      <c r="AB154" s="1" t="s">
        <v>1008</v>
      </c>
      <c r="AC154" s="1" t="s">
        <v>1076</v>
      </c>
      <c r="AD154" s="1" t="s">
        <v>1077</v>
      </c>
      <c r="AE154" s="1" t="s">
        <v>1078</v>
      </c>
      <c r="AF154" s="1" t="s">
        <v>483</v>
      </c>
      <c r="AG154" s="1">
        <v>73</v>
      </c>
      <c r="AH154" s="1" t="s">
        <v>678</v>
      </c>
      <c r="AI154" s="1" t="s">
        <v>1079</v>
      </c>
      <c r="AJ154" s="1" t="s">
        <v>1070</v>
      </c>
      <c r="AK154" s="1" t="s">
        <v>74</v>
      </c>
      <c r="AL154" s="1">
        <v>-273</v>
      </c>
      <c r="AM154" s="1" t="s">
        <v>604</v>
      </c>
      <c r="AN154" s="1" t="s">
        <v>180</v>
      </c>
      <c r="AO154" s="1" t="s">
        <v>964</v>
      </c>
      <c r="AP154" s="1" t="s">
        <v>113</v>
      </c>
      <c r="AQ154" s="1" t="s">
        <v>113</v>
      </c>
      <c r="AR154" s="1" t="s">
        <v>113</v>
      </c>
      <c r="AS154" s="1" t="s">
        <v>78</v>
      </c>
      <c r="AT154" s="1" t="s">
        <v>57</v>
      </c>
      <c r="AU154" s="1"/>
    </row>
    <row r="155" spans="2:47" ht="18" customHeight="1" x14ac:dyDescent="0.2">
      <c r="B155" s="16" t="s">
        <v>1362</v>
      </c>
      <c r="C155" s="1" t="s">
        <v>1407</v>
      </c>
      <c r="D155" s="22" t="s">
        <v>984</v>
      </c>
      <c r="E155" s="22" t="s">
        <v>32</v>
      </c>
      <c r="F155" s="22" t="s">
        <v>1064</v>
      </c>
      <c r="G155" s="23" t="s">
        <v>32</v>
      </c>
      <c r="H155" s="23" t="s">
        <v>32</v>
      </c>
      <c r="I155" s="23" t="s">
        <v>32</v>
      </c>
      <c r="J155" s="23" t="s">
        <v>1065</v>
      </c>
      <c r="K155" s="22" t="s">
        <v>59</v>
      </c>
      <c r="L155" s="22" t="s">
        <v>468</v>
      </c>
      <c r="M155" s="22" t="s">
        <v>32</v>
      </c>
      <c r="N155" s="22" t="s">
        <v>32</v>
      </c>
      <c r="O155" s="23" t="s">
        <v>1066</v>
      </c>
      <c r="P155" s="23" t="s">
        <v>1067</v>
      </c>
      <c r="Q155" s="22" t="s">
        <v>32</v>
      </c>
      <c r="R155" s="22" t="s">
        <v>32</v>
      </c>
      <c r="S155" s="22" t="s">
        <v>32</v>
      </c>
      <c r="T155" s="23" t="s">
        <v>42</v>
      </c>
      <c r="U155" s="22" t="s">
        <v>32</v>
      </c>
      <c r="V155" s="22" t="s">
        <v>167</v>
      </c>
      <c r="W155" s="23" t="s">
        <v>32</v>
      </c>
      <c r="X155" s="22" t="s">
        <v>42</v>
      </c>
      <c r="Y155" s="22" t="s">
        <v>32</v>
      </c>
      <c r="Z155" s="22">
        <v>4.45</v>
      </c>
      <c r="AA155" s="22" t="s">
        <v>239</v>
      </c>
      <c r="AB155" s="1" t="s">
        <v>362</v>
      </c>
      <c r="AC155" s="1" t="s">
        <v>1080</v>
      </c>
      <c r="AD155" s="1" t="s">
        <v>1081</v>
      </c>
      <c r="AE155" s="1" t="s">
        <v>995</v>
      </c>
      <c r="AF155" s="1" t="s">
        <v>1082</v>
      </c>
      <c r="AG155" s="1">
        <v>81</v>
      </c>
      <c r="AH155" s="1" t="s">
        <v>678</v>
      </c>
      <c r="AI155" s="1" t="s">
        <v>1069</v>
      </c>
      <c r="AJ155" s="1" t="s">
        <v>1070</v>
      </c>
      <c r="AK155" s="1" t="s">
        <v>74</v>
      </c>
      <c r="AL155" s="1">
        <v>-273</v>
      </c>
      <c r="AM155" s="1" t="s">
        <v>604</v>
      </c>
      <c r="AN155" s="1" t="s">
        <v>180</v>
      </c>
      <c r="AO155" s="1" t="s">
        <v>964</v>
      </c>
      <c r="AP155" s="1" t="s">
        <v>113</v>
      </c>
      <c r="AQ155" s="1" t="s">
        <v>113</v>
      </c>
      <c r="AR155" s="1" t="s">
        <v>113</v>
      </c>
      <c r="AS155" s="1" t="s">
        <v>78</v>
      </c>
      <c r="AT155" s="1" t="s">
        <v>57</v>
      </c>
      <c r="AU155" s="1"/>
    </row>
    <row r="156" spans="2:47" ht="18" customHeight="1" x14ac:dyDescent="0.2">
      <c r="B156" s="16" t="s">
        <v>1362</v>
      </c>
      <c r="C156" s="1" t="s">
        <v>1407</v>
      </c>
      <c r="D156" s="22" t="s">
        <v>481</v>
      </c>
      <c r="E156" s="22" t="s">
        <v>32</v>
      </c>
      <c r="F156" s="22" t="s">
        <v>1064</v>
      </c>
      <c r="G156" s="23" t="s">
        <v>32</v>
      </c>
      <c r="H156" s="23" t="s">
        <v>32</v>
      </c>
      <c r="I156" s="23" t="s">
        <v>32</v>
      </c>
      <c r="J156" s="23" t="s">
        <v>1065</v>
      </c>
      <c r="K156" s="22" t="s">
        <v>59</v>
      </c>
      <c r="L156" s="22" t="s">
        <v>468</v>
      </c>
      <c r="M156" s="22" t="s">
        <v>32</v>
      </c>
      <c r="N156" s="22" t="s">
        <v>32</v>
      </c>
      <c r="O156" s="23" t="s">
        <v>1066</v>
      </c>
      <c r="P156" s="23" t="s">
        <v>1067</v>
      </c>
      <c r="Q156" s="22" t="s">
        <v>32</v>
      </c>
      <c r="R156" s="22" t="s">
        <v>32</v>
      </c>
      <c r="S156" s="22" t="s">
        <v>32</v>
      </c>
      <c r="T156" s="23" t="s">
        <v>42</v>
      </c>
      <c r="U156" s="22" t="s">
        <v>32</v>
      </c>
      <c r="V156" s="22" t="s">
        <v>167</v>
      </c>
      <c r="W156" s="23" t="s">
        <v>32</v>
      </c>
      <c r="X156" s="22" t="s">
        <v>42</v>
      </c>
      <c r="Y156" s="22" t="s">
        <v>32</v>
      </c>
      <c r="Z156" s="22">
        <v>4.45</v>
      </c>
      <c r="AA156" s="22" t="s">
        <v>239</v>
      </c>
      <c r="AB156" s="1" t="s">
        <v>362</v>
      </c>
      <c r="AC156" s="1" t="s">
        <v>1083</v>
      </c>
      <c r="AD156" s="1" t="s">
        <v>939</v>
      </c>
      <c r="AE156" s="1" t="s">
        <v>1084</v>
      </c>
      <c r="AF156" s="1" t="s">
        <v>1019</v>
      </c>
      <c r="AG156" s="1">
        <v>61</v>
      </c>
      <c r="AH156" s="1" t="s">
        <v>114</v>
      </c>
      <c r="AI156" s="1" t="s">
        <v>1062</v>
      </c>
      <c r="AJ156" s="1" t="s">
        <v>1074</v>
      </c>
      <c r="AK156" s="1" t="s">
        <v>74</v>
      </c>
      <c r="AL156" s="1">
        <v>-273</v>
      </c>
      <c r="AM156" s="1" t="s">
        <v>604</v>
      </c>
      <c r="AN156" s="1" t="s">
        <v>180</v>
      </c>
      <c r="AO156" s="1" t="s">
        <v>964</v>
      </c>
      <c r="AP156" s="1" t="s">
        <v>113</v>
      </c>
      <c r="AQ156" s="1" t="s">
        <v>113</v>
      </c>
      <c r="AR156" s="1" t="s">
        <v>113</v>
      </c>
      <c r="AS156" s="1" t="s">
        <v>78</v>
      </c>
      <c r="AT156" s="1" t="s">
        <v>57</v>
      </c>
      <c r="AU156" s="1"/>
    </row>
    <row r="157" spans="2:47" ht="18" customHeight="1" x14ac:dyDescent="0.2">
      <c r="B157" s="29" t="s">
        <v>1363</v>
      </c>
      <c r="C157" s="27" t="s">
        <v>1085</v>
      </c>
      <c r="D157" s="22" t="s">
        <v>1063</v>
      </c>
      <c r="E157" s="22" t="s">
        <v>32</v>
      </c>
      <c r="F157" s="22" t="s">
        <v>1086</v>
      </c>
      <c r="G157" s="23" t="s">
        <v>32</v>
      </c>
      <c r="H157" s="23" t="s">
        <v>32</v>
      </c>
      <c r="I157" s="23" t="s">
        <v>32</v>
      </c>
      <c r="J157" s="23" t="s">
        <v>1065</v>
      </c>
      <c r="K157" s="22" t="s">
        <v>59</v>
      </c>
      <c r="L157" s="22" t="s">
        <v>468</v>
      </c>
      <c r="M157" s="22" t="s">
        <v>32</v>
      </c>
      <c r="N157" s="22" t="s">
        <v>32</v>
      </c>
      <c r="O157" s="23" t="s">
        <v>1087</v>
      </c>
      <c r="P157" s="23" t="s">
        <v>1088</v>
      </c>
      <c r="Q157" s="22" t="s">
        <v>32</v>
      </c>
      <c r="R157" s="22" t="s">
        <v>32</v>
      </c>
      <c r="S157" s="22" t="s">
        <v>32</v>
      </c>
      <c r="T157" s="23" t="s">
        <v>42</v>
      </c>
      <c r="U157" s="22" t="s">
        <v>32</v>
      </c>
      <c r="V157" s="22" t="s">
        <v>167</v>
      </c>
      <c r="W157" s="23" t="s">
        <v>32</v>
      </c>
      <c r="X157" s="22" t="s">
        <v>42</v>
      </c>
      <c r="Y157" s="22" t="s">
        <v>32</v>
      </c>
      <c r="Z157" s="22">
        <v>6.95</v>
      </c>
      <c r="AA157" s="22" t="s">
        <v>958</v>
      </c>
      <c r="AB157" s="1" t="s">
        <v>362</v>
      </c>
      <c r="AC157" s="1" t="s">
        <v>1089</v>
      </c>
      <c r="AD157" s="1" t="s">
        <v>1090</v>
      </c>
      <c r="AE157" s="1" t="s">
        <v>599</v>
      </c>
      <c r="AF157" s="1" t="s">
        <v>1091</v>
      </c>
      <c r="AG157" s="1" t="s">
        <v>32</v>
      </c>
      <c r="AH157" s="1" t="s">
        <v>74</v>
      </c>
      <c r="AI157" s="1" t="s">
        <v>1092</v>
      </c>
      <c r="AJ157" s="1" t="s">
        <v>1093</v>
      </c>
      <c r="AK157" s="1" t="s">
        <v>426</v>
      </c>
      <c r="AL157" s="1">
        <v>-273</v>
      </c>
      <c r="AM157" s="1" t="s">
        <v>971</v>
      </c>
      <c r="AN157" s="1" t="s">
        <v>180</v>
      </c>
      <c r="AO157" s="1" t="s">
        <v>1094</v>
      </c>
      <c r="AP157" s="1" t="s">
        <v>78</v>
      </c>
      <c r="AQ157" s="1" t="s">
        <v>113</v>
      </c>
      <c r="AR157" s="1" t="s">
        <v>113</v>
      </c>
      <c r="AS157" s="1" t="s">
        <v>78</v>
      </c>
      <c r="AT157" s="1" t="s">
        <v>57</v>
      </c>
      <c r="AU157" s="1"/>
    </row>
    <row r="158" spans="2:47" ht="18" customHeight="1" x14ac:dyDescent="0.2">
      <c r="B158" s="29" t="s">
        <v>1363</v>
      </c>
      <c r="C158" s="27" t="s">
        <v>1085</v>
      </c>
      <c r="D158" s="22" t="s">
        <v>976</v>
      </c>
      <c r="E158" s="22" t="s">
        <v>32</v>
      </c>
      <c r="F158" s="22" t="s">
        <v>1086</v>
      </c>
      <c r="G158" s="23" t="s">
        <v>32</v>
      </c>
      <c r="H158" s="23" t="s">
        <v>32</v>
      </c>
      <c r="I158" s="23" t="s">
        <v>32</v>
      </c>
      <c r="J158" s="23" t="s">
        <v>1065</v>
      </c>
      <c r="K158" s="22" t="s">
        <v>59</v>
      </c>
      <c r="L158" s="22" t="s">
        <v>468</v>
      </c>
      <c r="M158" s="22" t="s">
        <v>32</v>
      </c>
      <c r="N158" s="22" t="s">
        <v>32</v>
      </c>
      <c r="O158" s="23" t="s">
        <v>1087</v>
      </c>
      <c r="P158" s="23" t="s">
        <v>1088</v>
      </c>
      <c r="Q158" s="22" t="s">
        <v>32</v>
      </c>
      <c r="R158" s="22" t="s">
        <v>32</v>
      </c>
      <c r="S158" s="22" t="s">
        <v>32</v>
      </c>
      <c r="T158" s="23" t="s">
        <v>42</v>
      </c>
      <c r="U158" s="22" t="s">
        <v>32</v>
      </c>
      <c r="V158" s="22" t="s">
        <v>167</v>
      </c>
      <c r="W158" s="23" t="s">
        <v>32</v>
      </c>
      <c r="X158" s="22" t="s">
        <v>42</v>
      </c>
      <c r="Y158" s="22" t="s">
        <v>32</v>
      </c>
      <c r="Z158" s="22">
        <v>6.95</v>
      </c>
      <c r="AA158" s="22" t="s">
        <v>958</v>
      </c>
      <c r="AB158" s="1" t="s">
        <v>362</v>
      </c>
      <c r="AC158" s="1" t="s">
        <v>286</v>
      </c>
      <c r="AD158" s="1" t="s">
        <v>999</v>
      </c>
      <c r="AE158" s="1" t="s">
        <v>599</v>
      </c>
      <c r="AF158" s="1" t="s">
        <v>1091</v>
      </c>
      <c r="AG158" s="1" t="s">
        <v>32</v>
      </c>
      <c r="AH158" s="1" t="s">
        <v>74</v>
      </c>
      <c r="AI158" s="1" t="s">
        <v>1092</v>
      </c>
      <c r="AJ158" s="1" t="s">
        <v>1093</v>
      </c>
      <c r="AK158" s="1" t="s">
        <v>426</v>
      </c>
      <c r="AL158" s="1">
        <v>-273</v>
      </c>
      <c r="AM158" s="1" t="s">
        <v>971</v>
      </c>
      <c r="AN158" s="1" t="s">
        <v>180</v>
      </c>
      <c r="AO158" s="1" t="s">
        <v>1094</v>
      </c>
      <c r="AP158" s="1" t="s">
        <v>78</v>
      </c>
      <c r="AQ158" s="1" t="s">
        <v>113</v>
      </c>
      <c r="AR158" s="1" t="s">
        <v>113</v>
      </c>
      <c r="AS158" s="1" t="s">
        <v>78</v>
      </c>
      <c r="AT158" s="1" t="s">
        <v>57</v>
      </c>
      <c r="AU158" s="1"/>
    </row>
    <row r="159" spans="2:47" ht="18" customHeight="1" x14ac:dyDescent="0.2">
      <c r="B159" s="29" t="s">
        <v>1363</v>
      </c>
      <c r="C159" s="27" t="s">
        <v>1406</v>
      </c>
      <c r="D159" s="22" t="s">
        <v>977</v>
      </c>
      <c r="E159" s="22" t="s">
        <v>32</v>
      </c>
      <c r="F159" s="22" t="s">
        <v>1086</v>
      </c>
      <c r="G159" s="23" t="s">
        <v>32</v>
      </c>
      <c r="H159" s="23" t="s">
        <v>32</v>
      </c>
      <c r="I159" s="23" t="s">
        <v>32</v>
      </c>
      <c r="J159" s="23" t="s">
        <v>1065</v>
      </c>
      <c r="K159" s="22" t="s">
        <v>59</v>
      </c>
      <c r="L159" s="22" t="s">
        <v>468</v>
      </c>
      <c r="M159" s="22" t="s">
        <v>32</v>
      </c>
      <c r="N159" s="22" t="s">
        <v>32</v>
      </c>
      <c r="O159" s="23" t="s">
        <v>1087</v>
      </c>
      <c r="P159" s="23" t="s">
        <v>1088</v>
      </c>
      <c r="Q159" s="22" t="s">
        <v>32</v>
      </c>
      <c r="R159" s="22" t="s">
        <v>32</v>
      </c>
      <c r="S159" s="22" t="s">
        <v>32</v>
      </c>
      <c r="T159" s="23" t="s">
        <v>42</v>
      </c>
      <c r="U159" s="22" t="s">
        <v>32</v>
      </c>
      <c r="V159" s="22" t="s">
        <v>167</v>
      </c>
      <c r="W159" s="23" t="s">
        <v>32</v>
      </c>
      <c r="X159" s="22" t="s">
        <v>42</v>
      </c>
      <c r="Y159" s="22" t="s">
        <v>32</v>
      </c>
      <c r="Z159" s="22">
        <v>6.95</v>
      </c>
      <c r="AA159" s="22" t="s">
        <v>958</v>
      </c>
      <c r="AB159" s="1" t="s">
        <v>362</v>
      </c>
      <c r="AC159" s="1" t="s">
        <v>1095</v>
      </c>
      <c r="AD159" s="1" t="s">
        <v>968</v>
      </c>
      <c r="AE159" s="1" t="s">
        <v>599</v>
      </c>
      <c r="AF159" s="1" t="s">
        <v>1091</v>
      </c>
      <c r="AG159" s="1">
        <v>90</v>
      </c>
      <c r="AH159" s="1" t="s">
        <v>74</v>
      </c>
      <c r="AI159" s="1" t="s">
        <v>1092</v>
      </c>
      <c r="AJ159" s="1" t="s">
        <v>1093</v>
      </c>
      <c r="AK159" s="1" t="s">
        <v>426</v>
      </c>
      <c r="AL159" s="1">
        <v>-273</v>
      </c>
      <c r="AM159" s="1" t="s">
        <v>971</v>
      </c>
      <c r="AN159" s="1" t="s">
        <v>180</v>
      </c>
      <c r="AO159" s="1" t="s">
        <v>1094</v>
      </c>
      <c r="AP159" s="1" t="s">
        <v>78</v>
      </c>
      <c r="AQ159" s="1" t="s">
        <v>113</v>
      </c>
      <c r="AR159" s="1" t="s">
        <v>113</v>
      </c>
      <c r="AS159" s="1" t="s">
        <v>78</v>
      </c>
      <c r="AT159" s="1" t="s">
        <v>57</v>
      </c>
      <c r="AU159" s="1"/>
    </row>
    <row r="160" spans="2:47" ht="18" customHeight="1" x14ac:dyDescent="0.2">
      <c r="B160" s="29" t="s">
        <v>1363</v>
      </c>
      <c r="C160" s="27" t="s">
        <v>1085</v>
      </c>
      <c r="D160" s="22" t="s">
        <v>481</v>
      </c>
      <c r="E160" s="22" t="s">
        <v>32</v>
      </c>
      <c r="F160" s="22" t="s">
        <v>1086</v>
      </c>
      <c r="G160" s="23" t="s">
        <v>32</v>
      </c>
      <c r="H160" s="23" t="s">
        <v>32</v>
      </c>
      <c r="I160" s="23" t="s">
        <v>32</v>
      </c>
      <c r="J160" s="23" t="s">
        <v>1065</v>
      </c>
      <c r="K160" s="22" t="s">
        <v>59</v>
      </c>
      <c r="L160" s="22" t="s">
        <v>468</v>
      </c>
      <c r="M160" s="22" t="s">
        <v>32</v>
      </c>
      <c r="N160" s="22" t="s">
        <v>32</v>
      </c>
      <c r="O160" s="23" t="s">
        <v>1087</v>
      </c>
      <c r="P160" s="23" t="s">
        <v>1088</v>
      </c>
      <c r="Q160" s="22" t="s">
        <v>32</v>
      </c>
      <c r="R160" s="22" t="s">
        <v>32</v>
      </c>
      <c r="S160" s="22" t="s">
        <v>32</v>
      </c>
      <c r="T160" s="23" t="s">
        <v>42</v>
      </c>
      <c r="U160" s="22" t="s">
        <v>32</v>
      </c>
      <c r="V160" s="22" t="s">
        <v>167</v>
      </c>
      <c r="W160" s="23" t="s">
        <v>32</v>
      </c>
      <c r="X160" s="22" t="s">
        <v>42</v>
      </c>
      <c r="Y160" s="22" t="s">
        <v>32</v>
      </c>
      <c r="Z160" s="22">
        <v>6.95</v>
      </c>
      <c r="AA160" s="22" t="s">
        <v>958</v>
      </c>
      <c r="AB160" s="1" t="s">
        <v>362</v>
      </c>
      <c r="AC160" s="1" t="s">
        <v>1096</v>
      </c>
      <c r="AD160" s="1" t="s">
        <v>1097</v>
      </c>
      <c r="AE160" s="1" t="s">
        <v>974</v>
      </c>
      <c r="AF160" s="1" t="s">
        <v>1091</v>
      </c>
      <c r="AG160" s="1">
        <v>80</v>
      </c>
      <c r="AH160" s="1" t="s">
        <v>1098</v>
      </c>
      <c r="AI160" s="1" t="s">
        <v>1092</v>
      </c>
      <c r="AJ160" s="1" t="s">
        <v>1093</v>
      </c>
      <c r="AK160" s="1" t="s">
        <v>426</v>
      </c>
      <c r="AL160" s="1">
        <v>-273</v>
      </c>
      <c r="AM160" s="1" t="s">
        <v>971</v>
      </c>
      <c r="AN160" s="1" t="s">
        <v>180</v>
      </c>
      <c r="AO160" s="1" t="s">
        <v>1094</v>
      </c>
      <c r="AP160" s="1" t="s">
        <v>78</v>
      </c>
      <c r="AQ160" s="1" t="s">
        <v>113</v>
      </c>
      <c r="AR160" s="1" t="s">
        <v>113</v>
      </c>
      <c r="AS160" s="1" t="s">
        <v>78</v>
      </c>
      <c r="AT160" s="1" t="s">
        <v>57</v>
      </c>
      <c r="AU160" s="1"/>
    </row>
    <row r="161" spans="2:47" ht="18" customHeight="1" x14ac:dyDescent="0.2">
      <c r="B161" s="16" t="s">
        <v>1364</v>
      </c>
      <c r="C161" s="1" t="s">
        <v>1405</v>
      </c>
      <c r="D161" s="22" t="s">
        <v>1004</v>
      </c>
      <c r="E161" s="22" t="s">
        <v>32</v>
      </c>
      <c r="F161" s="22" t="s">
        <v>1099</v>
      </c>
      <c r="G161" s="23" t="s">
        <v>32</v>
      </c>
      <c r="H161" s="23" t="s">
        <v>32</v>
      </c>
      <c r="I161" s="23" t="s">
        <v>32</v>
      </c>
      <c r="J161" s="23" t="s">
        <v>273</v>
      </c>
      <c r="K161" s="22" t="s">
        <v>59</v>
      </c>
      <c r="L161" s="22" t="s">
        <v>468</v>
      </c>
      <c r="M161" s="22" t="s">
        <v>32</v>
      </c>
      <c r="N161" s="22" t="s">
        <v>32</v>
      </c>
      <c r="O161" s="23" t="s">
        <v>1100</v>
      </c>
      <c r="P161" s="23" t="s">
        <v>98</v>
      </c>
      <c r="Q161" s="22" t="s">
        <v>32</v>
      </c>
      <c r="R161" s="22" t="s">
        <v>32</v>
      </c>
      <c r="S161" s="22" t="s">
        <v>32</v>
      </c>
      <c r="T161" s="23" t="s">
        <v>468</v>
      </c>
      <c r="U161" s="22" t="s">
        <v>32</v>
      </c>
      <c r="V161" s="22" t="s">
        <v>226</v>
      </c>
      <c r="W161" s="23" t="s">
        <v>32</v>
      </c>
      <c r="X161" s="22" t="s">
        <v>167</v>
      </c>
      <c r="Y161" s="22" t="s">
        <v>32</v>
      </c>
      <c r="Z161" s="22">
        <v>4.8</v>
      </c>
      <c r="AA161" s="22" t="s">
        <v>327</v>
      </c>
      <c r="AB161" s="1" t="s">
        <v>1101</v>
      </c>
      <c r="AC161" s="1" t="s">
        <v>1102</v>
      </c>
      <c r="AD161" s="1" t="s">
        <v>597</v>
      </c>
      <c r="AE161" s="1" t="s">
        <v>1103</v>
      </c>
      <c r="AF161" s="1" t="s">
        <v>499</v>
      </c>
      <c r="AG161" s="1">
        <v>66</v>
      </c>
      <c r="AH161" s="1" t="s">
        <v>1104</v>
      </c>
      <c r="AI161" s="1" t="s">
        <v>524</v>
      </c>
      <c r="AJ161" s="1" t="s">
        <v>1011</v>
      </c>
      <c r="AK161" s="1" t="s">
        <v>74</v>
      </c>
      <c r="AL161" s="1">
        <v>-273</v>
      </c>
      <c r="AM161" s="1" t="s">
        <v>1105</v>
      </c>
      <c r="AN161" s="1" t="s">
        <v>892</v>
      </c>
      <c r="AO161" s="1" t="s">
        <v>933</v>
      </c>
      <c r="AP161" s="1" t="s">
        <v>137</v>
      </c>
      <c r="AQ161" s="1" t="s">
        <v>113</v>
      </c>
      <c r="AR161" s="1" t="s">
        <v>137</v>
      </c>
      <c r="AS161" s="1" t="s">
        <v>113</v>
      </c>
      <c r="AT161" s="1" t="s">
        <v>57</v>
      </c>
      <c r="AU161" s="1"/>
    </row>
    <row r="162" spans="2:47" ht="18" customHeight="1" x14ac:dyDescent="0.2">
      <c r="B162" s="16" t="s">
        <v>1364</v>
      </c>
      <c r="C162" s="1" t="s">
        <v>1405</v>
      </c>
      <c r="D162" s="22" t="s">
        <v>502</v>
      </c>
      <c r="E162" s="22" t="s">
        <v>32</v>
      </c>
      <c r="F162" s="22" t="s">
        <v>1099</v>
      </c>
      <c r="G162" s="23" t="s">
        <v>32</v>
      </c>
      <c r="H162" s="23" t="s">
        <v>32</v>
      </c>
      <c r="I162" s="23" t="s">
        <v>32</v>
      </c>
      <c r="J162" s="23" t="s">
        <v>273</v>
      </c>
      <c r="K162" s="22" t="s">
        <v>59</v>
      </c>
      <c r="L162" s="22" t="s">
        <v>468</v>
      </c>
      <c r="M162" s="22" t="s">
        <v>32</v>
      </c>
      <c r="N162" s="22" t="s">
        <v>32</v>
      </c>
      <c r="O162" s="23" t="s">
        <v>1100</v>
      </c>
      <c r="P162" s="23" t="s">
        <v>98</v>
      </c>
      <c r="Q162" s="22" t="s">
        <v>32</v>
      </c>
      <c r="R162" s="22" t="s">
        <v>32</v>
      </c>
      <c r="S162" s="22" t="s">
        <v>32</v>
      </c>
      <c r="T162" s="23" t="s">
        <v>468</v>
      </c>
      <c r="U162" s="22" t="s">
        <v>32</v>
      </c>
      <c r="V162" s="22" t="s">
        <v>226</v>
      </c>
      <c r="W162" s="23" t="s">
        <v>32</v>
      </c>
      <c r="X162" s="22" t="s">
        <v>167</v>
      </c>
      <c r="Y162" s="22" t="s">
        <v>32</v>
      </c>
      <c r="Z162" s="22">
        <v>4.8</v>
      </c>
      <c r="AA162" s="22" t="s">
        <v>327</v>
      </c>
      <c r="AB162" s="1" t="s">
        <v>1101</v>
      </c>
      <c r="AC162" s="1" t="s">
        <v>1106</v>
      </c>
      <c r="AD162" s="1" t="s">
        <v>1107</v>
      </c>
      <c r="AE162" s="1" t="s">
        <v>1015</v>
      </c>
      <c r="AF162" s="1" t="s">
        <v>483</v>
      </c>
      <c r="AG162" s="1">
        <v>72</v>
      </c>
      <c r="AH162" s="1" t="s">
        <v>1108</v>
      </c>
      <c r="AI162" s="1" t="s">
        <v>524</v>
      </c>
      <c r="AJ162" s="1" t="s">
        <v>1011</v>
      </c>
      <c r="AK162" s="1" t="s">
        <v>74</v>
      </c>
      <c r="AL162" s="1">
        <v>-273</v>
      </c>
      <c r="AM162" s="1" t="s">
        <v>1105</v>
      </c>
      <c r="AN162" s="1" t="s">
        <v>892</v>
      </c>
      <c r="AO162" s="1" t="s">
        <v>933</v>
      </c>
      <c r="AP162" s="1" t="s">
        <v>137</v>
      </c>
      <c r="AQ162" s="1" t="s">
        <v>113</v>
      </c>
      <c r="AR162" s="1" t="s">
        <v>137</v>
      </c>
      <c r="AS162" s="1" t="s">
        <v>113</v>
      </c>
      <c r="AT162" s="1" t="s">
        <v>57</v>
      </c>
      <c r="AU162" s="1"/>
    </row>
    <row r="163" spans="2:47" ht="18" customHeight="1" x14ac:dyDescent="0.2">
      <c r="B163" s="16" t="s">
        <v>1364</v>
      </c>
      <c r="C163" s="1" t="s">
        <v>1405</v>
      </c>
      <c r="D163" s="22" t="s">
        <v>920</v>
      </c>
      <c r="E163" s="22" t="s">
        <v>32</v>
      </c>
      <c r="F163" s="22" t="s">
        <v>1099</v>
      </c>
      <c r="G163" s="23" t="s">
        <v>32</v>
      </c>
      <c r="H163" s="23" t="s">
        <v>32</v>
      </c>
      <c r="I163" s="23" t="s">
        <v>32</v>
      </c>
      <c r="J163" s="23" t="s">
        <v>273</v>
      </c>
      <c r="K163" s="22" t="s">
        <v>59</v>
      </c>
      <c r="L163" s="22" t="s">
        <v>468</v>
      </c>
      <c r="M163" s="22" t="s">
        <v>32</v>
      </c>
      <c r="N163" s="22" t="s">
        <v>32</v>
      </c>
      <c r="O163" s="23" t="s">
        <v>1100</v>
      </c>
      <c r="P163" s="23" t="s">
        <v>98</v>
      </c>
      <c r="Q163" s="22" t="s">
        <v>32</v>
      </c>
      <c r="R163" s="22" t="s">
        <v>32</v>
      </c>
      <c r="S163" s="22" t="s">
        <v>32</v>
      </c>
      <c r="T163" s="23" t="s">
        <v>468</v>
      </c>
      <c r="U163" s="22" t="s">
        <v>32</v>
      </c>
      <c r="V163" s="22" t="s">
        <v>226</v>
      </c>
      <c r="W163" s="23" t="s">
        <v>32</v>
      </c>
      <c r="X163" s="22" t="s">
        <v>167</v>
      </c>
      <c r="Y163" s="22" t="s">
        <v>32</v>
      </c>
      <c r="Z163" s="22">
        <v>4.8</v>
      </c>
      <c r="AA163" s="22" t="s">
        <v>327</v>
      </c>
      <c r="AB163" s="1" t="s">
        <v>1101</v>
      </c>
      <c r="AC163" s="1" t="s">
        <v>1109</v>
      </c>
      <c r="AD163" s="1" t="s">
        <v>1110</v>
      </c>
      <c r="AE163" s="1" t="s">
        <v>1111</v>
      </c>
      <c r="AF163" s="1" t="s">
        <v>1016</v>
      </c>
      <c r="AG163" s="1">
        <v>80</v>
      </c>
      <c r="AH163" s="1" t="s">
        <v>1112</v>
      </c>
      <c r="AI163" s="1" t="s">
        <v>524</v>
      </c>
      <c r="AJ163" s="1" t="s">
        <v>1011</v>
      </c>
      <c r="AK163" s="1" t="s">
        <v>74</v>
      </c>
      <c r="AL163" s="1">
        <v>-273</v>
      </c>
      <c r="AM163" s="1" t="s">
        <v>1105</v>
      </c>
      <c r="AN163" s="1" t="s">
        <v>892</v>
      </c>
      <c r="AO163" s="1" t="s">
        <v>933</v>
      </c>
      <c r="AP163" s="1" t="s">
        <v>137</v>
      </c>
      <c r="AQ163" s="1" t="s">
        <v>113</v>
      </c>
      <c r="AR163" s="1" t="s">
        <v>137</v>
      </c>
      <c r="AS163" s="1" t="s">
        <v>113</v>
      </c>
      <c r="AT163" s="1" t="s">
        <v>57</v>
      </c>
      <c r="AU163" s="1"/>
    </row>
    <row r="164" spans="2:47" ht="18" customHeight="1" x14ac:dyDescent="0.2">
      <c r="B164" s="16" t="s">
        <v>1364</v>
      </c>
      <c r="C164" s="1" t="s">
        <v>1405</v>
      </c>
      <c r="D164" s="22" t="s">
        <v>487</v>
      </c>
      <c r="E164" s="22" t="s">
        <v>32</v>
      </c>
      <c r="F164" s="22" t="s">
        <v>1099</v>
      </c>
      <c r="G164" s="23" t="s">
        <v>32</v>
      </c>
      <c r="H164" s="23" t="s">
        <v>32</v>
      </c>
      <c r="I164" s="23" t="s">
        <v>32</v>
      </c>
      <c r="J164" s="23" t="s">
        <v>273</v>
      </c>
      <c r="K164" s="22" t="s">
        <v>59</v>
      </c>
      <c r="L164" s="22" t="s">
        <v>468</v>
      </c>
      <c r="M164" s="22" t="s">
        <v>32</v>
      </c>
      <c r="N164" s="22" t="s">
        <v>32</v>
      </c>
      <c r="O164" s="23" t="s">
        <v>1100</v>
      </c>
      <c r="P164" s="23" t="s">
        <v>98</v>
      </c>
      <c r="Q164" s="22" t="s">
        <v>32</v>
      </c>
      <c r="R164" s="22" t="s">
        <v>32</v>
      </c>
      <c r="S164" s="22" t="s">
        <v>32</v>
      </c>
      <c r="T164" s="23" t="s">
        <v>468</v>
      </c>
      <c r="U164" s="22" t="s">
        <v>32</v>
      </c>
      <c r="V164" s="22" t="s">
        <v>226</v>
      </c>
      <c r="W164" s="23" t="s">
        <v>32</v>
      </c>
      <c r="X164" s="22" t="s">
        <v>167</v>
      </c>
      <c r="Y164" s="22" t="s">
        <v>32</v>
      </c>
      <c r="Z164" s="22">
        <v>4.8</v>
      </c>
      <c r="AA164" s="22" t="s">
        <v>327</v>
      </c>
      <c r="AB164" s="1" t="s">
        <v>1101</v>
      </c>
      <c r="AC164" s="1" t="s">
        <v>1113</v>
      </c>
      <c r="AD164" s="1" t="s">
        <v>1114</v>
      </c>
      <c r="AE164" s="1" t="s">
        <v>1115</v>
      </c>
      <c r="AF164" s="1" t="s">
        <v>909</v>
      </c>
      <c r="AG164" s="1">
        <v>88</v>
      </c>
      <c r="AH164" s="1" t="s">
        <v>1116</v>
      </c>
      <c r="AI164" s="1" t="s">
        <v>524</v>
      </c>
      <c r="AJ164" s="1" t="s">
        <v>1011</v>
      </c>
      <c r="AK164" s="1" t="s">
        <v>74</v>
      </c>
      <c r="AL164" s="1">
        <v>-273</v>
      </c>
      <c r="AM164" s="1" t="s">
        <v>1105</v>
      </c>
      <c r="AN164" s="1" t="s">
        <v>892</v>
      </c>
      <c r="AO164" s="1" t="s">
        <v>933</v>
      </c>
      <c r="AP164" s="1" t="s">
        <v>137</v>
      </c>
      <c r="AQ164" s="1" t="s">
        <v>113</v>
      </c>
      <c r="AR164" s="1" t="s">
        <v>137</v>
      </c>
      <c r="AS164" s="1" t="s">
        <v>113</v>
      </c>
      <c r="AT164" s="1" t="s">
        <v>57</v>
      </c>
      <c r="AU164" s="1"/>
    </row>
    <row r="165" spans="2:47" ht="18" customHeight="1" x14ac:dyDescent="0.2">
      <c r="B165" s="16" t="s">
        <v>1364</v>
      </c>
      <c r="C165" s="1" t="s">
        <v>1405</v>
      </c>
      <c r="D165" s="22" t="s">
        <v>467</v>
      </c>
      <c r="E165" s="22" t="s">
        <v>32</v>
      </c>
      <c r="F165" s="22" t="s">
        <v>1099</v>
      </c>
      <c r="G165" s="23" t="s">
        <v>32</v>
      </c>
      <c r="H165" s="23" t="s">
        <v>32</v>
      </c>
      <c r="I165" s="23" t="s">
        <v>32</v>
      </c>
      <c r="J165" s="23" t="s">
        <v>273</v>
      </c>
      <c r="K165" s="22" t="s">
        <v>59</v>
      </c>
      <c r="L165" s="22" t="s">
        <v>468</v>
      </c>
      <c r="M165" s="22" t="s">
        <v>32</v>
      </c>
      <c r="N165" s="22" t="s">
        <v>32</v>
      </c>
      <c r="O165" s="23" t="s">
        <v>1100</v>
      </c>
      <c r="P165" s="23" t="s">
        <v>98</v>
      </c>
      <c r="Q165" s="22" t="s">
        <v>32</v>
      </c>
      <c r="R165" s="22" t="s">
        <v>32</v>
      </c>
      <c r="S165" s="22" t="s">
        <v>32</v>
      </c>
      <c r="T165" s="23" t="s">
        <v>468</v>
      </c>
      <c r="U165" s="22" t="s">
        <v>32</v>
      </c>
      <c r="V165" s="22" t="s">
        <v>226</v>
      </c>
      <c r="W165" s="23" t="s">
        <v>32</v>
      </c>
      <c r="X165" s="22" t="s">
        <v>167</v>
      </c>
      <c r="Y165" s="22" t="s">
        <v>32</v>
      </c>
      <c r="Z165" s="22">
        <v>4.8</v>
      </c>
      <c r="AA165" s="22" t="s">
        <v>327</v>
      </c>
      <c r="AB165" s="1" t="s">
        <v>1101</v>
      </c>
      <c r="AC165" s="1" t="s">
        <v>1117</v>
      </c>
      <c r="AD165" s="1" t="s">
        <v>714</v>
      </c>
      <c r="AE165" s="1" t="s">
        <v>936</v>
      </c>
      <c r="AF165" s="1" t="s">
        <v>1041</v>
      </c>
      <c r="AG165" s="1" t="s">
        <v>32</v>
      </c>
      <c r="AH165" s="1" t="s">
        <v>1118</v>
      </c>
      <c r="AI165" s="1" t="s">
        <v>524</v>
      </c>
      <c r="AJ165" s="1" t="s">
        <v>1011</v>
      </c>
      <c r="AK165" s="1" t="s">
        <v>74</v>
      </c>
      <c r="AL165" s="1">
        <v>-273</v>
      </c>
      <c r="AM165" s="1" t="s">
        <v>1105</v>
      </c>
      <c r="AN165" s="1" t="s">
        <v>892</v>
      </c>
      <c r="AO165" s="1" t="s">
        <v>933</v>
      </c>
      <c r="AP165" s="1" t="s">
        <v>137</v>
      </c>
      <c r="AQ165" s="1" t="s">
        <v>113</v>
      </c>
      <c r="AR165" s="1" t="s">
        <v>137</v>
      </c>
      <c r="AS165" s="1" t="s">
        <v>113</v>
      </c>
      <c r="AT165" s="1" t="s">
        <v>57</v>
      </c>
      <c r="AU165" s="1"/>
    </row>
    <row r="166" spans="2:47" ht="18" customHeight="1" x14ac:dyDescent="0.2">
      <c r="B166" s="16" t="s">
        <v>1365</v>
      </c>
      <c r="C166" s="1" t="s">
        <v>1405</v>
      </c>
      <c r="D166" s="22" t="s">
        <v>481</v>
      </c>
      <c r="E166" s="22" t="s">
        <v>32</v>
      </c>
      <c r="F166" s="22" t="s">
        <v>1099</v>
      </c>
      <c r="G166" s="23" t="s">
        <v>32</v>
      </c>
      <c r="H166" s="23" t="s">
        <v>32</v>
      </c>
      <c r="I166" s="23" t="s">
        <v>32</v>
      </c>
      <c r="J166" s="23" t="s">
        <v>273</v>
      </c>
      <c r="K166" s="22" t="s">
        <v>59</v>
      </c>
      <c r="L166" s="22" t="s">
        <v>468</v>
      </c>
      <c r="M166" s="22" t="s">
        <v>32</v>
      </c>
      <c r="N166" s="22" t="s">
        <v>32</v>
      </c>
      <c r="O166" s="23" t="s">
        <v>1100</v>
      </c>
      <c r="P166" s="23" t="s">
        <v>98</v>
      </c>
      <c r="Q166" s="22" t="s">
        <v>32</v>
      </c>
      <c r="R166" s="22" t="s">
        <v>32</v>
      </c>
      <c r="S166" s="22" t="s">
        <v>32</v>
      </c>
      <c r="T166" s="23" t="s">
        <v>468</v>
      </c>
      <c r="U166" s="22" t="s">
        <v>32</v>
      </c>
      <c r="V166" s="22" t="s">
        <v>226</v>
      </c>
      <c r="W166" s="23" t="s">
        <v>32</v>
      </c>
      <c r="X166" s="22" t="s">
        <v>167</v>
      </c>
      <c r="Y166" s="22" t="s">
        <v>32</v>
      </c>
      <c r="Z166" s="22">
        <v>4.8</v>
      </c>
      <c r="AA166" s="22" t="s">
        <v>327</v>
      </c>
      <c r="AB166" s="1" t="s">
        <v>1119</v>
      </c>
      <c r="AC166" s="1" t="s">
        <v>1041</v>
      </c>
      <c r="AD166" s="1" t="s">
        <v>1120</v>
      </c>
      <c r="AE166" s="1" t="s">
        <v>1121</v>
      </c>
      <c r="AF166" s="1" t="s">
        <v>615</v>
      </c>
      <c r="AG166" s="1">
        <v>52</v>
      </c>
      <c r="AH166" s="1" t="s">
        <v>1122</v>
      </c>
      <c r="AI166" s="1" t="s">
        <v>524</v>
      </c>
      <c r="AJ166" s="1" t="s">
        <v>1123</v>
      </c>
      <c r="AK166" s="1" t="s">
        <v>74</v>
      </c>
      <c r="AL166" s="1">
        <v>-273</v>
      </c>
      <c r="AM166" s="1" t="s">
        <v>1105</v>
      </c>
      <c r="AN166" s="1" t="s">
        <v>892</v>
      </c>
      <c r="AO166" s="1" t="s">
        <v>1124</v>
      </c>
      <c r="AP166" s="1" t="s">
        <v>137</v>
      </c>
      <c r="AQ166" s="1" t="s">
        <v>113</v>
      </c>
      <c r="AR166" s="1" t="s">
        <v>137</v>
      </c>
      <c r="AS166" s="1" t="s">
        <v>113</v>
      </c>
      <c r="AT166" s="1" t="s">
        <v>57</v>
      </c>
      <c r="AU166" s="1"/>
    </row>
    <row r="167" spans="2:47" ht="18" customHeight="1" x14ac:dyDescent="0.2">
      <c r="B167" s="16" t="s">
        <v>1366</v>
      </c>
      <c r="C167" s="1" t="s">
        <v>1404</v>
      </c>
      <c r="D167" s="22" t="s">
        <v>1141</v>
      </c>
      <c r="E167" s="22" t="s">
        <v>32</v>
      </c>
      <c r="F167" s="22" t="s">
        <v>1125</v>
      </c>
      <c r="G167" s="23" t="s">
        <v>32</v>
      </c>
      <c r="H167" s="23" t="s">
        <v>32</v>
      </c>
      <c r="I167" s="23" t="s">
        <v>32</v>
      </c>
      <c r="J167" s="23" t="s">
        <v>59</v>
      </c>
      <c r="K167" s="22" t="s">
        <v>59</v>
      </c>
      <c r="L167" s="22" t="s">
        <v>40</v>
      </c>
      <c r="M167" s="22" t="s">
        <v>32</v>
      </c>
      <c r="N167" s="22" t="s">
        <v>32</v>
      </c>
      <c r="O167" s="23" t="s">
        <v>169</v>
      </c>
      <c r="P167" s="23" t="s">
        <v>59</v>
      </c>
      <c r="Q167" s="22" t="s">
        <v>32</v>
      </c>
      <c r="R167" s="22" t="s">
        <v>32</v>
      </c>
      <c r="S167" s="22" t="s">
        <v>32</v>
      </c>
      <c r="T167" s="23" t="s">
        <v>1126</v>
      </c>
      <c r="U167" s="22" t="s">
        <v>32</v>
      </c>
      <c r="V167" s="22" t="s">
        <v>59</v>
      </c>
      <c r="W167" s="23" t="s">
        <v>32</v>
      </c>
      <c r="X167" s="22" t="s">
        <v>59</v>
      </c>
      <c r="Y167" s="22" t="s">
        <v>32</v>
      </c>
      <c r="Z167" s="22">
        <v>1.7</v>
      </c>
      <c r="AA167" s="22" t="s">
        <v>1127</v>
      </c>
      <c r="AB167" s="1" t="s">
        <v>1128</v>
      </c>
      <c r="AC167" s="1" t="s">
        <v>1129</v>
      </c>
      <c r="AD167" s="1" t="s">
        <v>1130</v>
      </c>
      <c r="AE167" s="1" t="s">
        <v>1131</v>
      </c>
      <c r="AF167" s="1" t="s">
        <v>1132</v>
      </c>
      <c r="AG167" s="1" t="s">
        <v>32</v>
      </c>
      <c r="AH167" s="1">
        <v>97</v>
      </c>
      <c r="AI167" s="1" t="s">
        <v>524</v>
      </c>
      <c r="AJ167" s="1" t="s">
        <v>1133</v>
      </c>
      <c r="AK167" s="1" t="s">
        <v>245</v>
      </c>
      <c r="AL167" s="1">
        <v>-273</v>
      </c>
      <c r="AM167" s="1" t="s">
        <v>1134</v>
      </c>
      <c r="AN167" s="1" t="s">
        <v>543</v>
      </c>
      <c r="AO167" s="1" t="s">
        <v>528</v>
      </c>
      <c r="AP167" s="1" t="s">
        <v>113</v>
      </c>
      <c r="AQ167" s="1" t="s">
        <v>113</v>
      </c>
      <c r="AR167" s="1" t="s">
        <v>113</v>
      </c>
      <c r="AS167" s="1" t="s">
        <v>78</v>
      </c>
      <c r="AT167" s="1" t="s">
        <v>57</v>
      </c>
      <c r="AU167" s="1"/>
    </row>
    <row r="168" spans="2:47" ht="18" customHeight="1" x14ac:dyDescent="0.2">
      <c r="B168" s="16" t="s">
        <v>1366</v>
      </c>
      <c r="C168" s="1" t="s">
        <v>1404</v>
      </c>
      <c r="D168" s="22" t="s">
        <v>1142</v>
      </c>
      <c r="E168" s="22" t="s">
        <v>32</v>
      </c>
      <c r="F168" s="22" t="s">
        <v>1125</v>
      </c>
      <c r="G168" s="23" t="s">
        <v>32</v>
      </c>
      <c r="H168" s="23" t="s">
        <v>32</v>
      </c>
      <c r="I168" s="23" t="s">
        <v>32</v>
      </c>
      <c r="J168" s="23" t="s">
        <v>59</v>
      </c>
      <c r="K168" s="22" t="s">
        <v>59</v>
      </c>
      <c r="L168" s="22" t="s">
        <v>40</v>
      </c>
      <c r="M168" s="22" t="s">
        <v>32</v>
      </c>
      <c r="N168" s="22" t="s">
        <v>32</v>
      </c>
      <c r="O168" s="23" t="s">
        <v>169</v>
      </c>
      <c r="P168" s="23" t="s">
        <v>59</v>
      </c>
      <c r="Q168" s="22" t="s">
        <v>32</v>
      </c>
      <c r="R168" s="22" t="s">
        <v>32</v>
      </c>
      <c r="S168" s="22" t="s">
        <v>32</v>
      </c>
      <c r="T168" s="23" t="s">
        <v>1126</v>
      </c>
      <c r="U168" s="22" t="s">
        <v>32</v>
      </c>
      <c r="V168" s="22" t="s">
        <v>59</v>
      </c>
      <c r="W168" s="23" t="s">
        <v>32</v>
      </c>
      <c r="X168" s="22" t="s">
        <v>59</v>
      </c>
      <c r="Y168" s="22" t="s">
        <v>32</v>
      </c>
      <c r="Z168" s="22">
        <v>1.7</v>
      </c>
      <c r="AA168" s="22" t="s">
        <v>1127</v>
      </c>
      <c r="AB168" s="1" t="s">
        <v>1135</v>
      </c>
      <c r="AC168" s="1" t="s">
        <v>1136</v>
      </c>
      <c r="AD168" s="1" t="s">
        <v>1137</v>
      </c>
      <c r="AE168" s="1" t="s">
        <v>1138</v>
      </c>
      <c r="AF168" s="1" t="s">
        <v>909</v>
      </c>
      <c r="AG168" s="1">
        <v>90</v>
      </c>
      <c r="AH168" s="1" t="s">
        <v>1139</v>
      </c>
      <c r="AI168" s="1" t="s">
        <v>524</v>
      </c>
      <c r="AJ168" s="1" t="s">
        <v>1140</v>
      </c>
      <c r="AK168" s="1" t="s">
        <v>245</v>
      </c>
      <c r="AL168" s="1">
        <v>-273</v>
      </c>
      <c r="AM168" s="1" t="s">
        <v>1134</v>
      </c>
      <c r="AN168" s="1" t="s">
        <v>543</v>
      </c>
      <c r="AO168" s="1" t="s">
        <v>528</v>
      </c>
      <c r="AP168" s="1" t="s">
        <v>113</v>
      </c>
      <c r="AQ168" s="1" t="s">
        <v>113</v>
      </c>
      <c r="AR168" s="1" t="s">
        <v>113</v>
      </c>
      <c r="AS168" s="1" t="s">
        <v>78</v>
      </c>
      <c r="AT168" s="1" t="s">
        <v>57</v>
      </c>
      <c r="AU168" s="1"/>
    </row>
    <row r="169" spans="2:47" ht="18" customHeight="1" x14ac:dyDescent="0.2">
      <c r="B169" s="16" t="s">
        <v>1367</v>
      </c>
      <c r="C169" s="1" t="s">
        <v>1403</v>
      </c>
      <c r="D169" s="22" t="s">
        <v>1141</v>
      </c>
      <c r="E169" s="22" t="s">
        <v>32</v>
      </c>
      <c r="F169" s="22" t="s">
        <v>1144</v>
      </c>
      <c r="G169" s="23" t="s">
        <v>32</v>
      </c>
      <c r="H169" s="23" t="s">
        <v>32</v>
      </c>
      <c r="I169" s="23" t="s">
        <v>32</v>
      </c>
      <c r="J169" s="23" t="s">
        <v>273</v>
      </c>
      <c r="K169" s="22" t="s">
        <v>273</v>
      </c>
      <c r="L169" s="22" t="s">
        <v>40</v>
      </c>
      <c r="M169" s="22" t="s">
        <v>32</v>
      </c>
      <c r="N169" s="22" t="s">
        <v>32</v>
      </c>
      <c r="O169" s="23" t="s">
        <v>323</v>
      </c>
      <c r="P169" s="23" t="s">
        <v>98</v>
      </c>
      <c r="Q169" s="22" t="s">
        <v>32</v>
      </c>
      <c r="R169" s="22" t="s">
        <v>32</v>
      </c>
      <c r="S169" s="22" t="s">
        <v>32</v>
      </c>
      <c r="T169" s="23" t="s">
        <v>1145</v>
      </c>
      <c r="U169" s="22" t="s">
        <v>32</v>
      </c>
      <c r="V169" s="22" t="s">
        <v>59</v>
      </c>
      <c r="W169" s="23" t="s">
        <v>32</v>
      </c>
      <c r="X169" s="22" t="s">
        <v>167</v>
      </c>
      <c r="Y169" s="22" t="s">
        <v>32</v>
      </c>
      <c r="Z169" s="22">
        <v>2.4</v>
      </c>
      <c r="AA169" s="22" t="s">
        <v>186</v>
      </c>
      <c r="AB169" s="1" t="s">
        <v>1146</v>
      </c>
      <c r="AC169" s="1" t="s">
        <v>398</v>
      </c>
      <c r="AD169" s="1" t="s">
        <v>1130</v>
      </c>
      <c r="AE169" s="1" t="s">
        <v>1147</v>
      </c>
      <c r="AF169" s="1" t="s">
        <v>539</v>
      </c>
      <c r="AG169" s="1" t="s">
        <v>32</v>
      </c>
      <c r="AH169" s="1" t="s">
        <v>1148</v>
      </c>
      <c r="AI169" s="1" t="s">
        <v>524</v>
      </c>
      <c r="AJ169" s="1" t="s">
        <v>867</v>
      </c>
      <c r="AK169" s="1" t="s">
        <v>245</v>
      </c>
      <c r="AL169" s="1">
        <v>-273</v>
      </c>
      <c r="AM169" s="1" t="s">
        <v>1149</v>
      </c>
      <c r="AN169" s="1" t="s">
        <v>527</v>
      </c>
      <c r="AO169" s="1" t="s">
        <v>855</v>
      </c>
      <c r="AP169" s="1" t="s">
        <v>113</v>
      </c>
      <c r="AQ169" s="1" t="s">
        <v>113</v>
      </c>
      <c r="AR169" s="1" t="s">
        <v>113</v>
      </c>
      <c r="AS169" s="1" t="s">
        <v>78</v>
      </c>
      <c r="AT169" s="1" t="s">
        <v>57</v>
      </c>
      <c r="AU169" s="1"/>
    </row>
    <row r="170" spans="2:47" ht="18" customHeight="1" x14ac:dyDescent="0.2">
      <c r="B170" s="16" t="s">
        <v>1367</v>
      </c>
      <c r="C170" s="1" t="s">
        <v>1403</v>
      </c>
      <c r="D170" s="22" t="s">
        <v>1143</v>
      </c>
      <c r="E170" s="22" t="s">
        <v>32</v>
      </c>
      <c r="F170" s="22" t="s">
        <v>1144</v>
      </c>
      <c r="G170" s="23" t="s">
        <v>32</v>
      </c>
      <c r="H170" s="23" t="s">
        <v>32</v>
      </c>
      <c r="I170" s="23" t="s">
        <v>32</v>
      </c>
      <c r="J170" s="23" t="s">
        <v>273</v>
      </c>
      <c r="K170" s="22" t="s">
        <v>273</v>
      </c>
      <c r="L170" s="22" t="s">
        <v>40</v>
      </c>
      <c r="M170" s="22" t="s">
        <v>32</v>
      </c>
      <c r="N170" s="22" t="s">
        <v>32</v>
      </c>
      <c r="O170" s="23" t="s">
        <v>323</v>
      </c>
      <c r="P170" s="23" t="s">
        <v>98</v>
      </c>
      <c r="Q170" s="22" t="s">
        <v>32</v>
      </c>
      <c r="R170" s="22" t="s">
        <v>32</v>
      </c>
      <c r="S170" s="22" t="s">
        <v>32</v>
      </c>
      <c r="T170" s="23" t="s">
        <v>1145</v>
      </c>
      <c r="U170" s="22" t="s">
        <v>32</v>
      </c>
      <c r="V170" s="22" t="s">
        <v>59</v>
      </c>
      <c r="W170" s="23" t="s">
        <v>32</v>
      </c>
      <c r="X170" s="22" t="s">
        <v>167</v>
      </c>
      <c r="Y170" s="22" t="s">
        <v>32</v>
      </c>
      <c r="Z170" s="22">
        <v>2.4</v>
      </c>
      <c r="AA170" s="22" t="s">
        <v>186</v>
      </c>
      <c r="AB170" s="1" t="s">
        <v>1146</v>
      </c>
      <c r="AC170" s="1" t="s">
        <v>1150</v>
      </c>
      <c r="AD170" s="1" t="s">
        <v>1151</v>
      </c>
      <c r="AE170" s="1" t="s">
        <v>1152</v>
      </c>
      <c r="AF170" s="1" t="s">
        <v>1153</v>
      </c>
      <c r="AG170" s="1" t="s">
        <v>32</v>
      </c>
      <c r="AH170" s="1" t="s">
        <v>1154</v>
      </c>
      <c r="AI170" s="1" t="s">
        <v>524</v>
      </c>
      <c r="AJ170" s="1" t="s">
        <v>867</v>
      </c>
      <c r="AK170" s="1" t="s">
        <v>245</v>
      </c>
      <c r="AL170" s="1">
        <v>-273</v>
      </c>
      <c r="AM170" s="1" t="s">
        <v>1149</v>
      </c>
      <c r="AN170" s="1" t="s">
        <v>527</v>
      </c>
      <c r="AO170" s="1" t="s">
        <v>855</v>
      </c>
      <c r="AP170" s="1" t="s">
        <v>113</v>
      </c>
      <c r="AQ170" s="1" t="s">
        <v>113</v>
      </c>
      <c r="AR170" s="1" t="s">
        <v>113</v>
      </c>
      <c r="AS170" s="1" t="s">
        <v>78</v>
      </c>
      <c r="AT170" s="1" t="s">
        <v>57</v>
      </c>
      <c r="AU170" s="1"/>
    </row>
    <row r="171" spans="2:47" ht="18" customHeight="1" x14ac:dyDescent="0.2">
      <c r="B171" s="16" t="s">
        <v>1367</v>
      </c>
      <c r="C171" s="1" t="s">
        <v>1403</v>
      </c>
      <c r="D171" s="22" t="s">
        <v>1142</v>
      </c>
      <c r="E171" s="22" t="s">
        <v>32</v>
      </c>
      <c r="F171" s="22" t="s">
        <v>1144</v>
      </c>
      <c r="G171" s="23" t="s">
        <v>32</v>
      </c>
      <c r="H171" s="23" t="s">
        <v>32</v>
      </c>
      <c r="I171" s="23" t="s">
        <v>32</v>
      </c>
      <c r="J171" s="23" t="s">
        <v>273</v>
      </c>
      <c r="K171" s="22" t="s">
        <v>273</v>
      </c>
      <c r="L171" s="22" t="s">
        <v>40</v>
      </c>
      <c r="M171" s="22" t="s">
        <v>32</v>
      </c>
      <c r="N171" s="22" t="s">
        <v>32</v>
      </c>
      <c r="O171" s="23" t="s">
        <v>323</v>
      </c>
      <c r="P171" s="23" t="s">
        <v>98</v>
      </c>
      <c r="Q171" s="22" t="s">
        <v>32</v>
      </c>
      <c r="R171" s="22" t="s">
        <v>32</v>
      </c>
      <c r="S171" s="22" t="s">
        <v>32</v>
      </c>
      <c r="T171" s="23" t="s">
        <v>1145</v>
      </c>
      <c r="U171" s="22" t="s">
        <v>32</v>
      </c>
      <c r="V171" s="22" t="s">
        <v>59</v>
      </c>
      <c r="W171" s="23" t="s">
        <v>32</v>
      </c>
      <c r="X171" s="22" t="s">
        <v>167</v>
      </c>
      <c r="Y171" s="22" t="s">
        <v>32</v>
      </c>
      <c r="Z171" s="22">
        <v>2.4</v>
      </c>
      <c r="AA171" s="22" t="s">
        <v>186</v>
      </c>
      <c r="AB171" s="1" t="s">
        <v>1146</v>
      </c>
      <c r="AC171" s="1" t="s">
        <v>1155</v>
      </c>
      <c r="AD171" s="1" t="s">
        <v>1156</v>
      </c>
      <c r="AE171" s="1" t="s">
        <v>1157</v>
      </c>
      <c r="AF171" s="1" t="s">
        <v>1158</v>
      </c>
      <c r="AG171" s="1">
        <v>90</v>
      </c>
      <c r="AH171" s="1" t="s">
        <v>1159</v>
      </c>
      <c r="AI171" s="1" t="s">
        <v>524</v>
      </c>
      <c r="AJ171" s="1" t="s">
        <v>867</v>
      </c>
      <c r="AK171" s="1" t="s">
        <v>245</v>
      </c>
      <c r="AL171" s="1">
        <v>-273</v>
      </c>
      <c r="AM171" s="1" t="s">
        <v>1149</v>
      </c>
      <c r="AN171" s="1" t="s">
        <v>527</v>
      </c>
      <c r="AO171" s="1" t="s">
        <v>855</v>
      </c>
      <c r="AP171" s="1" t="s">
        <v>113</v>
      </c>
      <c r="AQ171" s="1" t="s">
        <v>113</v>
      </c>
      <c r="AR171" s="1" t="s">
        <v>113</v>
      </c>
      <c r="AS171" s="1" t="s">
        <v>78</v>
      </c>
      <c r="AT171" s="1" t="s">
        <v>57</v>
      </c>
      <c r="AU171" s="1"/>
    </row>
    <row r="172" spans="2:47" ht="18" customHeight="1" x14ac:dyDescent="0.2">
      <c r="B172" s="16" t="s">
        <v>1367</v>
      </c>
      <c r="C172" s="1" t="s">
        <v>1403</v>
      </c>
      <c r="D172" s="22" t="s">
        <v>294</v>
      </c>
      <c r="E172" s="22" t="s">
        <v>32</v>
      </c>
      <c r="F172" s="22" t="s">
        <v>1144</v>
      </c>
      <c r="G172" s="23" t="s">
        <v>32</v>
      </c>
      <c r="H172" s="23" t="s">
        <v>32</v>
      </c>
      <c r="I172" s="23" t="s">
        <v>32</v>
      </c>
      <c r="J172" s="23" t="s">
        <v>273</v>
      </c>
      <c r="K172" s="22" t="s">
        <v>273</v>
      </c>
      <c r="L172" s="22" t="s">
        <v>40</v>
      </c>
      <c r="M172" s="22" t="s">
        <v>32</v>
      </c>
      <c r="N172" s="22" t="s">
        <v>32</v>
      </c>
      <c r="O172" s="23" t="s">
        <v>323</v>
      </c>
      <c r="P172" s="23" t="s">
        <v>98</v>
      </c>
      <c r="Q172" s="22" t="s">
        <v>32</v>
      </c>
      <c r="R172" s="22" t="s">
        <v>32</v>
      </c>
      <c r="S172" s="22" t="s">
        <v>32</v>
      </c>
      <c r="T172" s="23" t="s">
        <v>1145</v>
      </c>
      <c r="U172" s="22" t="s">
        <v>32</v>
      </c>
      <c r="V172" s="22" t="s">
        <v>59</v>
      </c>
      <c r="W172" s="23" t="s">
        <v>32</v>
      </c>
      <c r="X172" s="22" t="s">
        <v>167</v>
      </c>
      <c r="Y172" s="22" t="s">
        <v>32</v>
      </c>
      <c r="Z172" s="22">
        <v>2.4</v>
      </c>
      <c r="AA172" s="22" t="s">
        <v>186</v>
      </c>
      <c r="AB172" s="1" t="s">
        <v>1146</v>
      </c>
      <c r="AC172" s="1" t="s">
        <v>1160</v>
      </c>
      <c r="AD172" s="1" t="s">
        <v>1161</v>
      </c>
      <c r="AE172" s="1" t="s">
        <v>1157</v>
      </c>
      <c r="AF172" s="1" t="s">
        <v>862</v>
      </c>
      <c r="AG172" s="1" t="s">
        <v>32</v>
      </c>
      <c r="AH172" s="1" t="s">
        <v>1162</v>
      </c>
      <c r="AI172" s="1" t="s">
        <v>524</v>
      </c>
      <c r="AJ172" s="1" t="s">
        <v>867</v>
      </c>
      <c r="AK172" s="1" t="s">
        <v>245</v>
      </c>
      <c r="AL172" s="1">
        <v>-273</v>
      </c>
      <c r="AM172" s="1" t="s">
        <v>1149</v>
      </c>
      <c r="AN172" s="1" t="s">
        <v>527</v>
      </c>
      <c r="AO172" s="1" t="s">
        <v>855</v>
      </c>
      <c r="AP172" s="1" t="s">
        <v>113</v>
      </c>
      <c r="AQ172" s="1" t="s">
        <v>113</v>
      </c>
      <c r="AR172" s="1" t="s">
        <v>113</v>
      </c>
      <c r="AS172" s="1" t="s">
        <v>78</v>
      </c>
      <c r="AT172" s="1" t="s">
        <v>57</v>
      </c>
      <c r="AU172" s="1"/>
    </row>
    <row r="173" spans="2:47" ht="18" customHeight="1" x14ac:dyDescent="0.2">
      <c r="B173" s="16" t="s">
        <v>1368</v>
      </c>
      <c r="C173" s="1" t="s">
        <v>1401</v>
      </c>
      <c r="D173" s="22" t="s">
        <v>481</v>
      </c>
      <c r="E173" s="22" t="s">
        <v>32</v>
      </c>
      <c r="F173" s="22" t="s">
        <v>1163</v>
      </c>
      <c r="G173" s="23" t="s">
        <v>32</v>
      </c>
      <c r="H173" s="23" t="s">
        <v>32</v>
      </c>
      <c r="I173" s="23" t="s">
        <v>32</v>
      </c>
      <c r="J173" s="23" t="s">
        <v>59</v>
      </c>
      <c r="K173" s="22" t="s">
        <v>1164</v>
      </c>
      <c r="L173" s="22" t="s">
        <v>98</v>
      </c>
      <c r="M173" s="22" t="s">
        <v>32</v>
      </c>
      <c r="N173" s="22" t="s">
        <v>32</v>
      </c>
      <c r="O173" s="23" t="s">
        <v>596</v>
      </c>
      <c r="P173" s="23" t="s">
        <v>553</v>
      </c>
      <c r="Q173" s="22" t="s">
        <v>32</v>
      </c>
      <c r="R173" s="22" t="s">
        <v>32</v>
      </c>
      <c r="S173" s="22" t="s">
        <v>32</v>
      </c>
      <c r="T173" s="23" t="s">
        <v>1165</v>
      </c>
      <c r="U173" s="22" t="s">
        <v>32</v>
      </c>
      <c r="V173" s="22" t="s">
        <v>59</v>
      </c>
      <c r="W173" s="23" t="s">
        <v>32</v>
      </c>
      <c r="X173" s="22" t="s">
        <v>42</v>
      </c>
      <c r="Y173" s="22" t="s">
        <v>32</v>
      </c>
      <c r="Z173" s="22">
        <v>2.7</v>
      </c>
      <c r="AA173" s="22" t="s">
        <v>186</v>
      </c>
      <c r="AB173" s="1" t="s">
        <v>1166</v>
      </c>
      <c r="AC173" s="1" t="s">
        <v>505</v>
      </c>
      <c r="AD173" s="1" t="s">
        <v>1167</v>
      </c>
      <c r="AE173" s="1" t="s">
        <v>354</v>
      </c>
      <c r="AF173" s="1" t="s">
        <v>923</v>
      </c>
      <c r="AG173" s="1" t="s">
        <v>32</v>
      </c>
      <c r="AH173" s="1" t="s">
        <v>1168</v>
      </c>
      <c r="AI173" s="1" t="s">
        <v>524</v>
      </c>
      <c r="AJ173" s="1" t="s">
        <v>838</v>
      </c>
      <c r="AK173" s="1" t="s">
        <v>245</v>
      </c>
      <c r="AL173" s="1">
        <v>-273</v>
      </c>
      <c r="AM173" s="1" t="s">
        <v>317</v>
      </c>
      <c r="AN173" s="1" t="s">
        <v>892</v>
      </c>
      <c r="AO173" s="1" t="s">
        <v>528</v>
      </c>
      <c r="AP173" s="1" t="s">
        <v>113</v>
      </c>
      <c r="AQ173" s="1" t="s">
        <v>113</v>
      </c>
      <c r="AR173" s="1" t="s">
        <v>113</v>
      </c>
      <c r="AS173" s="1" t="s">
        <v>78</v>
      </c>
      <c r="AT173" s="1" t="s">
        <v>57</v>
      </c>
      <c r="AU173" s="1"/>
    </row>
    <row r="174" spans="2:47" ht="18" customHeight="1" x14ac:dyDescent="0.2">
      <c r="B174" s="16" t="s">
        <v>1368</v>
      </c>
      <c r="C174" s="1" t="s">
        <v>1402</v>
      </c>
      <c r="D174" s="22" t="s">
        <v>1143</v>
      </c>
      <c r="E174" s="22" t="s">
        <v>32</v>
      </c>
      <c r="F174" s="22" t="s">
        <v>1163</v>
      </c>
      <c r="G174" s="23" t="s">
        <v>32</v>
      </c>
      <c r="H174" s="23" t="s">
        <v>32</v>
      </c>
      <c r="I174" s="23" t="s">
        <v>32</v>
      </c>
      <c r="J174" s="23" t="s">
        <v>59</v>
      </c>
      <c r="K174" s="22" t="s">
        <v>1164</v>
      </c>
      <c r="L174" s="22" t="s">
        <v>98</v>
      </c>
      <c r="M174" s="22" t="s">
        <v>32</v>
      </c>
      <c r="N174" s="22" t="s">
        <v>32</v>
      </c>
      <c r="O174" s="23" t="s">
        <v>596</v>
      </c>
      <c r="P174" s="23" t="s">
        <v>553</v>
      </c>
      <c r="Q174" s="22" t="s">
        <v>32</v>
      </c>
      <c r="R174" s="22" t="s">
        <v>32</v>
      </c>
      <c r="S174" s="22" t="s">
        <v>32</v>
      </c>
      <c r="T174" s="23" t="s">
        <v>1165</v>
      </c>
      <c r="U174" s="22" t="s">
        <v>32</v>
      </c>
      <c r="V174" s="22" t="s">
        <v>59</v>
      </c>
      <c r="W174" s="23" t="s">
        <v>32</v>
      </c>
      <c r="X174" s="22" t="s">
        <v>42</v>
      </c>
      <c r="Y174" s="22" t="s">
        <v>32</v>
      </c>
      <c r="Z174" s="22">
        <v>2.7</v>
      </c>
      <c r="AA174" s="22" t="s">
        <v>186</v>
      </c>
      <c r="AB174" s="1" t="s">
        <v>1166</v>
      </c>
      <c r="AC174" s="1" t="s">
        <v>1169</v>
      </c>
      <c r="AD174" s="1" t="s">
        <v>1170</v>
      </c>
      <c r="AE174" s="1" t="s">
        <v>1171</v>
      </c>
      <c r="AF174" s="1" t="s">
        <v>1172</v>
      </c>
      <c r="AG174" s="1" t="s">
        <v>32</v>
      </c>
      <c r="AH174" s="1" t="s">
        <v>1173</v>
      </c>
      <c r="AI174" s="1" t="s">
        <v>524</v>
      </c>
      <c r="AJ174" s="1" t="s">
        <v>838</v>
      </c>
      <c r="AK174" s="1" t="s">
        <v>245</v>
      </c>
      <c r="AL174" s="1">
        <v>-273</v>
      </c>
      <c r="AM174" s="1" t="s">
        <v>1174</v>
      </c>
      <c r="AN174" s="1" t="s">
        <v>892</v>
      </c>
      <c r="AO174" s="1" t="s">
        <v>528</v>
      </c>
      <c r="AP174" s="1" t="s">
        <v>113</v>
      </c>
      <c r="AQ174" s="1" t="s">
        <v>113</v>
      </c>
      <c r="AR174" s="1" t="s">
        <v>113</v>
      </c>
      <c r="AS174" s="1" t="s">
        <v>78</v>
      </c>
      <c r="AT174" s="1" t="s">
        <v>57</v>
      </c>
      <c r="AU174" s="1"/>
    </row>
    <row r="175" spans="2:47" ht="18" customHeight="1" x14ac:dyDescent="0.2">
      <c r="B175" s="16" t="s">
        <v>1368</v>
      </c>
      <c r="C175" s="1" t="s">
        <v>1402</v>
      </c>
      <c r="D175" s="22" t="s">
        <v>294</v>
      </c>
      <c r="E175" s="22" t="s">
        <v>32</v>
      </c>
      <c r="F175" s="22" t="s">
        <v>1163</v>
      </c>
      <c r="G175" s="23" t="s">
        <v>32</v>
      </c>
      <c r="H175" s="23" t="s">
        <v>32</v>
      </c>
      <c r="I175" s="23" t="s">
        <v>32</v>
      </c>
      <c r="J175" s="23" t="s">
        <v>59</v>
      </c>
      <c r="K175" s="22" t="s">
        <v>1164</v>
      </c>
      <c r="L175" s="22" t="s">
        <v>98</v>
      </c>
      <c r="M175" s="22" t="s">
        <v>32</v>
      </c>
      <c r="N175" s="22" t="s">
        <v>32</v>
      </c>
      <c r="O175" s="23" t="s">
        <v>596</v>
      </c>
      <c r="P175" s="23" t="s">
        <v>553</v>
      </c>
      <c r="Q175" s="22" t="s">
        <v>32</v>
      </c>
      <c r="R175" s="22" t="s">
        <v>32</v>
      </c>
      <c r="S175" s="22" t="s">
        <v>32</v>
      </c>
      <c r="T175" s="23" t="s">
        <v>1165</v>
      </c>
      <c r="U175" s="22" t="s">
        <v>32</v>
      </c>
      <c r="V175" s="22" t="s">
        <v>59</v>
      </c>
      <c r="W175" s="23" t="s">
        <v>32</v>
      </c>
      <c r="X175" s="22" t="s">
        <v>42</v>
      </c>
      <c r="Y175" s="22" t="s">
        <v>32</v>
      </c>
      <c r="Z175" s="22">
        <v>2.7</v>
      </c>
      <c r="AA175" s="22" t="s">
        <v>186</v>
      </c>
      <c r="AB175" s="1" t="s">
        <v>1166</v>
      </c>
      <c r="AC175" s="1" t="s">
        <v>935</v>
      </c>
      <c r="AD175" s="1" t="s">
        <v>1177</v>
      </c>
      <c r="AE175" s="1" t="s">
        <v>1175</v>
      </c>
      <c r="AF175" s="1" t="s">
        <v>1176</v>
      </c>
      <c r="AG175" s="1" t="s">
        <v>32</v>
      </c>
      <c r="AH175" s="1">
        <v>115</v>
      </c>
      <c r="AI175" s="1" t="s">
        <v>524</v>
      </c>
      <c r="AJ175" s="1" t="s">
        <v>838</v>
      </c>
      <c r="AK175" s="1" t="s">
        <v>245</v>
      </c>
      <c r="AL175" s="1">
        <v>-273</v>
      </c>
      <c r="AM175" s="1" t="s">
        <v>1178</v>
      </c>
      <c r="AN175" s="1" t="s">
        <v>892</v>
      </c>
      <c r="AO175" s="1" t="s">
        <v>528</v>
      </c>
      <c r="AP175" s="1" t="s">
        <v>113</v>
      </c>
      <c r="AQ175" s="1" t="s">
        <v>113</v>
      </c>
      <c r="AR175" s="1" t="s">
        <v>113</v>
      </c>
      <c r="AS175" s="1" t="s">
        <v>78</v>
      </c>
      <c r="AT175" s="1" t="s">
        <v>57</v>
      </c>
      <c r="AU175" s="1"/>
    </row>
    <row r="176" spans="2:47" ht="18" customHeight="1" x14ac:dyDescent="0.2">
      <c r="B176" s="16" t="s">
        <v>1368</v>
      </c>
      <c r="C176" s="1" t="s">
        <v>1401</v>
      </c>
      <c r="D176" s="22" t="s">
        <v>529</v>
      </c>
      <c r="E176" s="22" t="s">
        <v>32</v>
      </c>
      <c r="F176" s="22" t="s">
        <v>1163</v>
      </c>
      <c r="G176" s="23" t="s">
        <v>32</v>
      </c>
      <c r="H176" s="23" t="s">
        <v>32</v>
      </c>
      <c r="I176" s="23" t="s">
        <v>32</v>
      </c>
      <c r="J176" s="23" t="s">
        <v>59</v>
      </c>
      <c r="K176" s="22" t="s">
        <v>1164</v>
      </c>
      <c r="L176" s="22" t="s">
        <v>98</v>
      </c>
      <c r="M176" s="22" t="s">
        <v>32</v>
      </c>
      <c r="N176" s="22" t="s">
        <v>32</v>
      </c>
      <c r="O176" s="23" t="s">
        <v>596</v>
      </c>
      <c r="P176" s="23" t="s">
        <v>553</v>
      </c>
      <c r="Q176" s="22" t="s">
        <v>32</v>
      </c>
      <c r="R176" s="22" t="s">
        <v>32</v>
      </c>
      <c r="S176" s="22" t="s">
        <v>32</v>
      </c>
      <c r="T176" s="23" t="s">
        <v>1165</v>
      </c>
      <c r="U176" s="22" t="s">
        <v>32</v>
      </c>
      <c r="V176" s="22" t="s">
        <v>59</v>
      </c>
      <c r="W176" s="23" t="s">
        <v>32</v>
      </c>
      <c r="X176" s="22" t="s">
        <v>42</v>
      </c>
      <c r="Y176" s="22" t="s">
        <v>32</v>
      </c>
      <c r="Z176" s="22">
        <v>2.7</v>
      </c>
      <c r="AA176" s="22" t="s">
        <v>186</v>
      </c>
      <c r="AB176" s="1" t="s">
        <v>1166</v>
      </c>
      <c r="AC176" s="1" t="s">
        <v>1179</v>
      </c>
      <c r="AD176" s="1" t="s">
        <v>530</v>
      </c>
      <c r="AE176" s="1" t="s">
        <v>915</v>
      </c>
      <c r="AF176" s="1" t="s">
        <v>1180</v>
      </c>
      <c r="AG176" s="1" t="s">
        <v>32</v>
      </c>
      <c r="AH176" s="1" t="s">
        <v>1181</v>
      </c>
      <c r="AI176" s="1" t="s">
        <v>524</v>
      </c>
      <c r="AJ176" s="1" t="s">
        <v>541</v>
      </c>
      <c r="AK176" s="1" t="s">
        <v>245</v>
      </c>
      <c r="AL176" s="1">
        <v>-273</v>
      </c>
      <c r="AM176" s="1" t="s">
        <v>1178</v>
      </c>
      <c r="AN176" s="1" t="s">
        <v>892</v>
      </c>
      <c r="AO176" s="1" t="s">
        <v>528</v>
      </c>
      <c r="AP176" s="1" t="s">
        <v>113</v>
      </c>
      <c r="AQ176" s="1" t="s">
        <v>113</v>
      </c>
      <c r="AR176" s="1" t="s">
        <v>113</v>
      </c>
      <c r="AS176" s="1" t="s">
        <v>78</v>
      </c>
      <c r="AT176" s="1" t="s">
        <v>57</v>
      </c>
      <c r="AU176" s="1"/>
    </row>
    <row r="177" spans="2:47" ht="18" customHeight="1" x14ac:dyDescent="0.2">
      <c r="B177" s="16" t="s">
        <v>1369</v>
      </c>
      <c r="C177" s="1" t="s">
        <v>1399</v>
      </c>
      <c r="D177" s="22" t="s">
        <v>481</v>
      </c>
      <c r="E177" s="22" t="s">
        <v>32</v>
      </c>
      <c r="F177" s="22" t="s">
        <v>1182</v>
      </c>
      <c r="G177" s="23" t="s">
        <v>32</v>
      </c>
      <c r="H177" s="23" t="s">
        <v>32</v>
      </c>
      <c r="I177" s="23" t="s">
        <v>32</v>
      </c>
      <c r="J177" s="23" t="s">
        <v>59</v>
      </c>
      <c r="K177" s="22" t="s">
        <v>1164</v>
      </c>
      <c r="L177" s="22" t="s">
        <v>98</v>
      </c>
      <c r="M177" s="22" t="s">
        <v>32</v>
      </c>
      <c r="N177" s="22" t="s">
        <v>32</v>
      </c>
      <c r="O177" s="23" t="s">
        <v>1165</v>
      </c>
      <c r="P177" s="23" t="s">
        <v>553</v>
      </c>
      <c r="Q177" s="22" t="s">
        <v>32</v>
      </c>
      <c r="R177" s="22" t="s">
        <v>32</v>
      </c>
      <c r="S177" s="22" t="s">
        <v>32</v>
      </c>
      <c r="T177" s="23" t="s">
        <v>1183</v>
      </c>
      <c r="U177" s="22" t="s">
        <v>32</v>
      </c>
      <c r="V177" s="22" t="s">
        <v>59</v>
      </c>
      <c r="W177" s="23" t="s">
        <v>32</v>
      </c>
      <c r="X177" s="22" t="s">
        <v>42</v>
      </c>
      <c r="Y177" s="22" t="s">
        <v>32</v>
      </c>
      <c r="Z177" s="22">
        <v>3.1</v>
      </c>
      <c r="AA177" s="22" t="s">
        <v>1184</v>
      </c>
      <c r="AB177" s="1" t="s">
        <v>1166</v>
      </c>
      <c r="AC177" s="1" t="s">
        <v>1185</v>
      </c>
      <c r="AD177" s="1" t="s">
        <v>1186</v>
      </c>
      <c r="AE177" s="1" t="s">
        <v>1187</v>
      </c>
      <c r="AF177" s="1" t="s">
        <v>476</v>
      </c>
      <c r="AG177" s="1" t="s">
        <v>32</v>
      </c>
      <c r="AH177" s="1" t="s">
        <v>1188</v>
      </c>
      <c r="AI177" s="1" t="s">
        <v>524</v>
      </c>
      <c r="AJ177" s="1" t="s">
        <v>1189</v>
      </c>
      <c r="AK177" s="1" t="s">
        <v>245</v>
      </c>
      <c r="AL177" s="1">
        <v>-273</v>
      </c>
      <c r="AM177" s="1" t="s">
        <v>1190</v>
      </c>
      <c r="AN177" s="1" t="s">
        <v>892</v>
      </c>
      <c r="AO177" s="1" t="s">
        <v>1191</v>
      </c>
      <c r="AP177" s="1" t="s">
        <v>113</v>
      </c>
      <c r="AQ177" s="1" t="s">
        <v>113</v>
      </c>
      <c r="AR177" s="1" t="s">
        <v>113</v>
      </c>
      <c r="AS177" s="1" t="s">
        <v>78</v>
      </c>
      <c r="AT177" s="1" t="s">
        <v>57</v>
      </c>
      <c r="AU177" s="1"/>
    </row>
    <row r="178" spans="2:47" ht="18" customHeight="1" x14ac:dyDescent="0.2">
      <c r="B178" s="16" t="s">
        <v>1369</v>
      </c>
      <c r="C178" s="1" t="s">
        <v>1400</v>
      </c>
      <c r="D178" s="22" t="s">
        <v>1143</v>
      </c>
      <c r="E178" s="22" t="s">
        <v>32</v>
      </c>
      <c r="F178" s="22" t="s">
        <v>1182</v>
      </c>
      <c r="G178" s="23" t="s">
        <v>32</v>
      </c>
      <c r="H178" s="23" t="s">
        <v>32</v>
      </c>
      <c r="I178" s="23" t="s">
        <v>32</v>
      </c>
      <c r="J178" s="23" t="s">
        <v>59</v>
      </c>
      <c r="K178" s="22" t="s">
        <v>1164</v>
      </c>
      <c r="L178" s="22" t="s">
        <v>98</v>
      </c>
      <c r="M178" s="22" t="s">
        <v>32</v>
      </c>
      <c r="N178" s="22" t="s">
        <v>32</v>
      </c>
      <c r="O178" s="23" t="s">
        <v>1165</v>
      </c>
      <c r="P178" s="23" t="s">
        <v>553</v>
      </c>
      <c r="Q178" s="22" t="s">
        <v>32</v>
      </c>
      <c r="R178" s="22" t="s">
        <v>32</v>
      </c>
      <c r="S178" s="22" t="s">
        <v>32</v>
      </c>
      <c r="T178" s="23" t="s">
        <v>1183</v>
      </c>
      <c r="U178" s="22" t="s">
        <v>32</v>
      </c>
      <c r="V178" s="22" t="s">
        <v>59</v>
      </c>
      <c r="W178" s="23" t="s">
        <v>32</v>
      </c>
      <c r="X178" s="22" t="s">
        <v>42</v>
      </c>
      <c r="Y178" s="22" t="s">
        <v>32</v>
      </c>
      <c r="Z178" s="22">
        <v>3.1</v>
      </c>
      <c r="AA178" s="22" t="s">
        <v>1184</v>
      </c>
      <c r="AB178" s="1" t="s">
        <v>1166</v>
      </c>
      <c r="AC178" s="1" t="s">
        <v>1192</v>
      </c>
      <c r="AD178" s="1" t="s">
        <v>1193</v>
      </c>
      <c r="AE178" s="1" t="s">
        <v>305</v>
      </c>
      <c r="AF178" s="1" t="s">
        <v>483</v>
      </c>
      <c r="AG178" s="1" t="s">
        <v>32</v>
      </c>
      <c r="AH178" s="1">
        <v>117</v>
      </c>
      <c r="AI178" s="1" t="s">
        <v>524</v>
      </c>
      <c r="AJ178" s="1" t="s">
        <v>1189</v>
      </c>
      <c r="AK178" s="1" t="s">
        <v>245</v>
      </c>
      <c r="AL178" s="1">
        <v>-273</v>
      </c>
      <c r="AM178" s="1" t="s">
        <v>233</v>
      </c>
      <c r="AN178" s="1" t="s">
        <v>892</v>
      </c>
      <c r="AO178" s="1" t="s">
        <v>1191</v>
      </c>
      <c r="AP178" s="1" t="s">
        <v>113</v>
      </c>
      <c r="AQ178" s="1" t="s">
        <v>113</v>
      </c>
      <c r="AR178" s="1" t="s">
        <v>113</v>
      </c>
      <c r="AS178" s="1" t="s">
        <v>78</v>
      </c>
      <c r="AT178" s="1" t="s">
        <v>57</v>
      </c>
      <c r="AU178" s="1"/>
    </row>
    <row r="179" spans="2:47" ht="18" customHeight="1" x14ac:dyDescent="0.2">
      <c r="B179" s="16" t="s">
        <v>1369</v>
      </c>
      <c r="C179" s="1" t="s">
        <v>1399</v>
      </c>
      <c r="D179" s="22" t="s">
        <v>294</v>
      </c>
      <c r="E179" s="22" t="s">
        <v>32</v>
      </c>
      <c r="F179" s="22" t="s">
        <v>1182</v>
      </c>
      <c r="G179" s="23" t="s">
        <v>32</v>
      </c>
      <c r="H179" s="23" t="s">
        <v>32</v>
      </c>
      <c r="I179" s="23" t="s">
        <v>32</v>
      </c>
      <c r="J179" s="23" t="s">
        <v>59</v>
      </c>
      <c r="K179" s="22" t="s">
        <v>1164</v>
      </c>
      <c r="L179" s="22" t="s">
        <v>98</v>
      </c>
      <c r="M179" s="22" t="s">
        <v>32</v>
      </c>
      <c r="N179" s="22" t="s">
        <v>32</v>
      </c>
      <c r="O179" s="23" t="s">
        <v>1165</v>
      </c>
      <c r="P179" s="23" t="s">
        <v>553</v>
      </c>
      <c r="Q179" s="22" t="s">
        <v>32</v>
      </c>
      <c r="R179" s="22" t="s">
        <v>32</v>
      </c>
      <c r="S179" s="22" t="s">
        <v>32</v>
      </c>
      <c r="T179" s="23" t="s">
        <v>1183</v>
      </c>
      <c r="U179" s="22" t="s">
        <v>32</v>
      </c>
      <c r="V179" s="22" t="s">
        <v>59</v>
      </c>
      <c r="W179" s="23" t="s">
        <v>32</v>
      </c>
      <c r="X179" s="22" t="s">
        <v>42</v>
      </c>
      <c r="Y179" s="22" t="s">
        <v>32</v>
      </c>
      <c r="Z179" s="22">
        <v>3.1</v>
      </c>
      <c r="AA179" s="22" t="s">
        <v>1184</v>
      </c>
      <c r="AB179" s="1" t="s">
        <v>1166</v>
      </c>
      <c r="AC179" s="1" t="s">
        <v>1194</v>
      </c>
      <c r="AD179" s="1" t="s">
        <v>1195</v>
      </c>
      <c r="AE179" s="1" t="s">
        <v>1196</v>
      </c>
      <c r="AF179" s="1" t="s">
        <v>1197</v>
      </c>
      <c r="AG179" s="1" t="s">
        <v>32</v>
      </c>
      <c r="AH179" s="1" t="s">
        <v>1198</v>
      </c>
      <c r="AI179" s="1" t="s">
        <v>524</v>
      </c>
      <c r="AJ179" s="1" t="s">
        <v>1189</v>
      </c>
      <c r="AK179" s="1" t="s">
        <v>245</v>
      </c>
      <c r="AL179" s="1">
        <v>-273</v>
      </c>
      <c r="AM179" s="1" t="s">
        <v>1178</v>
      </c>
      <c r="AN179" s="1" t="s">
        <v>892</v>
      </c>
      <c r="AO179" s="1" t="s">
        <v>1191</v>
      </c>
      <c r="AP179" s="1" t="s">
        <v>113</v>
      </c>
      <c r="AQ179" s="1" t="s">
        <v>113</v>
      </c>
      <c r="AR179" s="1" t="s">
        <v>113</v>
      </c>
      <c r="AS179" s="1" t="s">
        <v>78</v>
      </c>
      <c r="AT179" s="1" t="s">
        <v>57</v>
      </c>
      <c r="AU179" s="1"/>
    </row>
    <row r="180" spans="2:47" ht="18" customHeight="1" x14ac:dyDescent="0.2">
      <c r="B180" s="16" t="s">
        <v>1370</v>
      </c>
      <c r="C180" s="1" t="s">
        <v>1398</v>
      </c>
      <c r="D180" s="22" t="s">
        <v>294</v>
      </c>
      <c r="E180" s="22" t="s">
        <v>32</v>
      </c>
      <c r="F180" s="22" t="s">
        <v>1199</v>
      </c>
      <c r="G180" s="23" t="s">
        <v>32</v>
      </c>
      <c r="H180" s="23" t="s">
        <v>32</v>
      </c>
      <c r="I180" s="23" t="s">
        <v>32</v>
      </c>
      <c r="J180" s="23" t="s">
        <v>59</v>
      </c>
      <c r="K180" s="22" t="s">
        <v>1200</v>
      </c>
      <c r="L180" s="22" t="s">
        <v>98</v>
      </c>
      <c r="M180" s="22" t="s">
        <v>32</v>
      </c>
      <c r="N180" s="22" t="s">
        <v>32</v>
      </c>
      <c r="O180" s="23" t="s">
        <v>1183</v>
      </c>
      <c r="P180" s="23" t="s">
        <v>553</v>
      </c>
      <c r="Q180" s="22" t="s">
        <v>32</v>
      </c>
      <c r="R180" s="22" t="s">
        <v>32</v>
      </c>
      <c r="S180" s="22" t="s">
        <v>32</v>
      </c>
      <c r="T180" s="23" t="s">
        <v>1165</v>
      </c>
      <c r="U180" s="22" t="s">
        <v>32</v>
      </c>
      <c r="V180" s="22" t="s">
        <v>59</v>
      </c>
      <c r="W180" s="23" t="s">
        <v>32</v>
      </c>
      <c r="X180" s="22" t="s">
        <v>42</v>
      </c>
      <c r="Y180" s="22" t="s">
        <v>32</v>
      </c>
      <c r="Z180" s="22">
        <v>3.1</v>
      </c>
      <c r="AA180" s="22" t="s">
        <v>1201</v>
      </c>
      <c r="AB180" s="1" t="s">
        <v>1202</v>
      </c>
      <c r="AC180" s="1" t="s">
        <v>1203</v>
      </c>
      <c r="AD180" s="1" t="s">
        <v>1204</v>
      </c>
      <c r="AE180" s="1" t="s">
        <v>1205</v>
      </c>
      <c r="AF180" s="1" t="s">
        <v>1206</v>
      </c>
      <c r="AG180" s="1" t="s">
        <v>32</v>
      </c>
      <c r="AH180" s="1" t="s">
        <v>1207</v>
      </c>
      <c r="AI180" s="1" t="s">
        <v>524</v>
      </c>
      <c r="AJ180" s="1" t="s">
        <v>1208</v>
      </c>
      <c r="AK180" s="1" t="s">
        <v>245</v>
      </c>
      <c r="AL180" s="1">
        <v>-273</v>
      </c>
      <c r="AM180" s="1" t="s">
        <v>971</v>
      </c>
      <c r="AN180" s="1" t="s">
        <v>734</v>
      </c>
      <c r="AO180" s="1" t="s">
        <v>1209</v>
      </c>
      <c r="AP180" s="1" t="s">
        <v>113</v>
      </c>
      <c r="AQ180" s="1" t="s">
        <v>113</v>
      </c>
      <c r="AR180" s="1" t="s">
        <v>113</v>
      </c>
      <c r="AS180" s="1" t="s">
        <v>78</v>
      </c>
      <c r="AT180" s="1" t="s">
        <v>57</v>
      </c>
      <c r="AU180" s="1"/>
    </row>
    <row r="181" spans="2:47" ht="18" customHeight="1" x14ac:dyDescent="0.2">
      <c r="B181" s="16" t="s">
        <v>1371</v>
      </c>
      <c r="C181" s="1" t="s">
        <v>1396</v>
      </c>
      <c r="D181" s="22" t="s">
        <v>1141</v>
      </c>
      <c r="E181" s="22" t="s">
        <v>32</v>
      </c>
      <c r="F181" s="22" t="s">
        <v>1210</v>
      </c>
      <c r="G181" s="23" t="s">
        <v>32</v>
      </c>
      <c r="H181" s="23" t="s">
        <v>32</v>
      </c>
      <c r="I181" s="23" t="s">
        <v>32</v>
      </c>
      <c r="J181" s="23" t="s">
        <v>59</v>
      </c>
      <c r="K181" s="22" t="s">
        <v>167</v>
      </c>
      <c r="L181" s="22" t="s">
        <v>98</v>
      </c>
      <c r="M181" s="22" t="s">
        <v>32</v>
      </c>
      <c r="N181" s="22" t="s">
        <v>32</v>
      </c>
      <c r="O181" s="23" t="s">
        <v>1211</v>
      </c>
      <c r="P181" s="23" t="s">
        <v>167</v>
      </c>
      <c r="Q181" s="22" t="s">
        <v>32</v>
      </c>
      <c r="R181" s="22" t="s">
        <v>32</v>
      </c>
      <c r="S181" s="22" t="s">
        <v>32</v>
      </c>
      <c r="T181" s="23" t="s">
        <v>185</v>
      </c>
      <c r="U181" s="22" t="s">
        <v>32</v>
      </c>
      <c r="V181" s="22" t="s">
        <v>226</v>
      </c>
      <c r="W181" s="23" t="s">
        <v>32</v>
      </c>
      <c r="X181" s="22" t="s">
        <v>167</v>
      </c>
      <c r="Y181" s="22" t="s">
        <v>32</v>
      </c>
      <c r="Z181" s="22">
        <v>2.4</v>
      </c>
      <c r="AA181" s="22" t="s">
        <v>386</v>
      </c>
      <c r="AB181" s="1" t="s">
        <v>1146</v>
      </c>
      <c r="AC181" s="1" t="s">
        <v>1212</v>
      </c>
      <c r="AD181" s="1" t="s">
        <v>1214</v>
      </c>
      <c r="AE181" s="1" t="s">
        <v>1215</v>
      </c>
      <c r="AF181" s="1" t="s">
        <v>504</v>
      </c>
      <c r="AG181" s="1" t="s">
        <v>32</v>
      </c>
      <c r="AH181" s="1" t="s">
        <v>1213</v>
      </c>
      <c r="AI181" s="1" t="s">
        <v>524</v>
      </c>
      <c r="AJ181" s="1" t="s">
        <v>1216</v>
      </c>
      <c r="AK181" s="1" t="s">
        <v>245</v>
      </c>
      <c r="AL181" s="1">
        <v>-273</v>
      </c>
      <c r="AM181" s="1" t="s">
        <v>1217</v>
      </c>
      <c r="AN181" s="1" t="s">
        <v>1218</v>
      </c>
      <c r="AO181" s="1" t="s">
        <v>528</v>
      </c>
      <c r="AP181" s="1" t="s">
        <v>113</v>
      </c>
      <c r="AQ181" s="1" t="s">
        <v>113</v>
      </c>
      <c r="AR181" s="1" t="s">
        <v>113</v>
      </c>
      <c r="AS181" s="1" t="s">
        <v>78</v>
      </c>
      <c r="AT181" s="1" t="s">
        <v>57</v>
      </c>
      <c r="AU181" s="1"/>
    </row>
    <row r="182" spans="2:47" ht="18" customHeight="1" x14ac:dyDescent="0.2">
      <c r="B182" s="16" t="s">
        <v>1371</v>
      </c>
      <c r="C182" s="1" t="s">
        <v>1397</v>
      </c>
      <c r="D182" s="22" t="s">
        <v>1143</v>
      </c>
      <c r="E182" s="22" t="s">
        <v>32</v>
      </c>
      <c r="F182" s="22" t="s">
        <v>1210</v>
      </c>
      <c r="G182" s="23" t="s">
        <v>32</v>
      </c>
      <c r="H182" s="23" t="s">
        <v>32</v>
      </c>
      <c r="I182" s="23" t="s">
        <v>32</v>
      </c>
      <c r="J182" s="23" t="s">
        <v>59</v>
      </c>
      <c r="K182" s="22" t="s">
        <v>167</v>
      </c>
      <c r="L182" s="22" t="s">
        <v>98</v>
      </c>
      <c r="M182" s="22" t="s">
        <v>32</v>
      </c>
      <c r="N182" s="22" t="s">
        <v>32</v>
      </c>
      <c r="O182" s="23" t="s">
        <v>1211</v>
      </c>
      <c r="P182" s="23" t="s">
        <v>167</v>
      </c>
      <c r="Q182" s="22" t="s">
        <v>32</v>
      </c>
      <c r="R182" s="22" t="s">
        <v>32</v>
      </c>
      <c r="S182" s="22" t="s">
        <v>32</v>
      </c>
      <c r="T182" s="23" t="s">
        <v>185</v>
      </c>
      <c r="U182" s="22" t="s">
        <v>32</v>
      </c>
      <c r="V182" s="22" t="s">
        <v>226</v>
      </c>
      <c r="W182" s="23" t="s">
        <v>32</v>
      </c>
      <c r="X182" s="22" t="s">
        <v>167</v>
      </c>
      <c r="Y182" s="22" t="s">
        <v>32</v>
      </c>
      <c r="Z182" s="22">
        <v>2.4</v>
      </c>
      <c r="AA182" s="22" t="s">
        <v>386</v>
      </c>
      <c r="AB182" s="1" t="s">
        <v>1146</v>
      </c>
      <c r="AC182" s="1" t="s">
        <v>1219</v>
      </c>
      <c r="AD182" s="1" t="s">
        <v>1220</v>
      </c>
      <c r="AE182" s="1" t="s">
        <v>1221</v>
      </c>
      <c r="AF182" s="1" t="s">
        <v>887</v>
      </c>
      <c r="AG182" s="1">
        <v>55</v>
      </c>
      <c r="AH182" s="1" t="s">
        <v>1222</v>
      </c>
      <c r="AI182" s="1" t="s">
        <v>524</v>
      </c>
      <c r="AJ182" s="1" t="s">
        <v>1216</v>
      </c>
      <c r="AK182" s="1" t="s">
        <v>245</v>
      </c>
      <c r="AL182" s="1">
        <v>-273</v>
      </c>
      <c r="AM182" s="1" t="s">
        <v>1223</v>
      </c>
      <c r="AN182" s="1" t="s">
        <v>1218</v>
      </c>
      <c r="AO182" s="1" t="s">
        <v>528</v>
      </c>
      <c r="AP182" s="1" t="s">
        <v>113</v>
      </c>
      <c r="AQ182" s="1" t="s">
        <v>113</v>
      </c>
      <c r="AR182" s="1" t="s">
        <v>113</v>
      </c>
      <c r="AS182" s="1" t="s">
        <v>78</v>
      </c>
      <c r="AT182" s="1" t="s">
        <v>57</v>
      </c>
      <c r="AU182" s="1"/>
    </row>
    <row r="183" spans="2:47" ht="18" customHeight="1" x14ac:dyDescent="0.2">
      <c r="B183" s="16" t="s">
        <v>1371</v>
      </c>
      <c r="C183" s="1" t="s">
        <v>1396</v>
      </c>
      <c r="D183" s="22" t="s">
        <v>1142</v>
      </c>
      <c r="E183" s="22" t="s">
        <v>32</v>
      </c>
      <c r="F183" s="22" t="s">
        <v>1210</v>
      </c>
      <c r="G183" s="23" t="s">
        <v>32</v>
      </c>
      <c r="H183" s="23" t="s">
        <v>32</v>
      </c>
      <c r="I183" s="23" t="s">
        <v>32</v>
      </c>
      <c r="J183" s="23" t="s">
        <v>59</v>
      </c>
      <c r="K183" s="22" t="s">
        <v>167</v>
      </c>
      <c r="L183" s="22" t="s">
        <v>98</v>
      </c>
      <c r="M183" s="22" t="s">
        <v>32</v>
      </c>
      <c r="N183" s="22" t="s">
        <v>32</v>
      </c>
      <c r="O183" s="23" t="s">
        <v>1211</v>
      </c>
      <c r="P183" s="23" t="s">
        <v>167</v>
      </c>
      <c r="Q183" s="22" t="s">
        <v>32</v>
      </c>
      <c r="R183" s="22" t="s">
        <v>32</v>
      </c>
      <c r="S183" s="22" t="s">
        <v>32</v>
      </c>
      <c r="T183" s="23" t="s">
        <v>185</v>
      </c>
      <c r="U183" s="22" t="s">
        <v>32</v>
      </c>
      <c r="V183" s="22" t="s">
        <v>226</v>
      </c>
      <c r="W183" s="23" t="s">
        <v>32</v>
      </c>
      <c r="X183" s="22" t="s">
        <v>167</v>
      </c>
      <c r="Y183" s="22" t="s">
        <v>32</v>
      </c>
      <c r="Z183" s="22">
        <v>2.4</v>
      </c>
      <c r="AA183" s="22" t="s">
        <v>386</v>
      </c>
      <c r="AB183" s="1" t="s">
        <v>1146</v>
      </c>
      <c r="AC183" s="1" t="s">
        <v>1224</v>
      </c>
      <c r="AD183" s="1" t="s">
        <v>1225</v>
      </c>
      <c r="AE183" s="1" t="s">
        <v>1147</v>
      </c>
      <c r="AF183" s="1" t="s">
        <v>615</v>
      </c>
      <c r="AG183" s="1" t="s">
        <v>32</v>
      </c>
      <c r="AH183" s="1" t="s">
        <v>1226</v>
      </c>
      <c r="AI183" s="1" t="s">
        <v>524</v>
      </c>
      <c r="AJ183" s="1" t="s">
        <v>1216</v>
      </c>
      <c r="AK183" s="1" t="s">
        <v>245</v>
      </c>
      <c r="AL183" s="1">
        <v>-273</v>
      </c>
      <c r="AM183" s="1" t="s">
        <v>1227</v>
      </c>
      <c r="AN183" s="1" t="s">
        <v>1218</v>
      </c>
      <c r="AO183" s="1" t="s">
        <v>528</v>
      </c>
      <c r="AP183" s="1" t="s">
        <v>113</v>
      </c>
      <c r="AQ183" s="1" t="s">
        <v>113</v>
      </c>
      <c r="AR183" s="1" t="s">
        <v>113</v>
      </c>
      <c r="AS183" s="1" t="s">
        <v>78</v>
      </c>
      <c r="AT183" s="1" t="s">
        <v>57</v>
      </c>
      <c r="AU183" s="1"/>
    </row>
    <row r="184" spans="2:47" ht="18" customHeight="1" x14ac:dyDescent="0.2">
      <c r="B184" s="16" t="s">
        <v>1371</v>
      </c>
      <c r="C184" s="1" t="s">
        <v>1396</v>
      </c>
      <c r="D184" s="22" t="s">
        <v>294</v>
      </c>
      <c r="E184" s="22" t="s">
        <v>32</v>
      </c>
      <c r="F184" s="22" t="s">
        <v>1210</v>
      </c>
      <c r="G184" s="23" t="s">
        <v>32</v>
      </c>
      <c r="H184" s="23" t="s">
        <v>32</v>
      </c>
      <c r="I184" s="23" t="s">
        <v>32</v>
      </c>
      <c r="J184" s="23" t="s">
        <v>59</v>
      </c>
      <c r="K184" s="22" t="s">
        <v>167</v>
      </c>
      <c r="L184" s="22" t="s">
        <v>98</v>
      </c>
      <c r="M184" s="22" t="s">
        <v>32</v>
      </c>
      <c r="N184" s="22" t="s">
        <v>32</v>
      </c>
      <c r="O184" s="23" t="s">
        <v>1211</v>
      </c>
      <c r="P184" s="23" t="s">
        <v>167</v>
      </c>
      <c r="Q184" s="22" t="s">
        <v>32</v>
      </c>
      <c r="R184" s="22" t="s">
        <v>32</v>
      </c>
      <c r="S184" s="22" t="s">
        <v>32</v>
      </c>
      <c r="T184" s="23" t="s">
        <v>185</v>
      </c>
      <c r="U184" s="22" t="s">
        <v>32</v>
      </c>
      <c r="V184" s="22" t="s">
        <v>226</v>
      </c>
      <c r="W184" s="23" t="s">
        <v>32</v>
      </c>
      <c r="X184" s="22" t="s">
        <v>167</v>
      </c>
      <c r="Y184" s="22" t="s">
        <v>32</v>
      </c>
      <c r="Z184" s="22">
        <v>2.4</v>
      </c>
      <c r="AA184" s="22" t="s">
        <v>386</v>
      </c>
      <c r="AB184" s="1" t="s">
        <v>1146</v>
      </c>
      <c r="AC184" s="1" t="s">
        <v>1228</v>
      </c>
      <c r="AD184" s="1" t="s">
        <v>1229</v>
      </c>
      <c r="AE184" s="1" t="s">
        <v>1230</v>
      </c>
      <c r="AF184" s="1" t="s">
        <v>483</v>
      </c>
      <c r="AG184" s="1">
        <v>80</v>
      </c>
      <c r="AH184" s="1" t="s">
        <v>1231</v>
      </c>
      <c r="AI184" s="1" t="s">
        <v>524</v>
      </c>
      <c r="AJ184" s="1" t="s">
        <v>1216</v>
      </c>
      <c r="AK184" s="1" t="s">
        <v>245</v>
      </c>
      <c r="AL184" s="1">
        <v>-273</v>
      </c>
      <c r="AM184" s="1" t="s">
        <v>1232</v>
      </c>
      <c r="AN184" s="1" t="s">
        <v>1218</v>
      </c>
      <c r="AO184" s="1" t="s">
        <v>528</v>
      </c>
      <c r="AP184" s="1" t="s">
        <v>113</v>
      </c>
      <c r="AQ184" s="1" t="s">
        <v>113</v>
      </c>
      <c r="AR184" s="1" t="s">
        <v>113</v>
      </c>
      <c r="AS184" s="1" t="s">
        <v>78</v>
      </c>
      <c r="AT184" s="1" t="s">
        <v>57</v>
      </c>
      <c r="AU184" s="1"/>
    </row>
    <row r="185" spans="2:47" ht="18" customHeight="1" x14ac:dyDescent="0.2">
      <c r="B185" s="16" t="s">
        <v>1372</v>
      </c>
      <c r="C185" s="1" t="s">
        <v>1395</v>
      </c>
      <c r="D185" s="22" t="s">
        <v>1143</v>
      </c>
      <c r="E185" s="22" t="s">
        <v>32</v>
      </c>
      <c r="F185" s="22" t="s">
        <v>1235</v>
      </c>
      <c r="G185" s="23" t="s">
        <v>32</v>
      </c>
      <c r="H185" s="23" t="s">
        <v>32</v>
      </c>
      <c r="I185" s="23" t="s">
        <v>32</v>
      </c>
      <c r="J185" s="23" t="s">
        <v>59</v>
      </c>
      <c r="K185" s="22" t="s">
        <v>1236</v>
      </c>
      <c r="L185" s="22" t="s">
        <v>1065</v>
      </c>
      <c r="M185" s="22" t="s">
        <v>32</v>
      </c>
      <c r="N185" s="22" t="s">
        <v>32</v>
      </c>
      <c r="O185" s="23" t="s">
        <v>821</v>
      </c>
      <c r="P185" s="23" t="s">
        <v>746</v>
      </c>
      <c r="Q185" s="22" t="s">
        <v>32</v>
      </c>
      <c r="R185" s="22" t="s">
        <v>32</v>
      </c>
      <c r="S185" s="22" t="s">
        <v>32</v>
      </c>
      <c r="T185" s="23" t="s">
        <v>1237</v>
      </c>
      <c r="U185" s="22" t="s">
        <v>32</v>
      </c>
      <c r="V185" s="22" t="s">
        <v>226</v>
      </c>
      <c r="W185" s="23" t="s">
        <v>32</v>
      </c>
      <c r="X185" s="22" t="s">
        <v>42</v>
      </c>
      <c r="Y185" s="22" t="s">
        <v>32</v>
      </c>
      <c r="Z185" s="22">
        <v>2.4</v>
      </c>
      <c r="AA185" s="22" t="s">
        <v>914</v>
      </c>
      <c r="AB185" s="1" t="s">
        <v>1166</v>
      </c>
      <c r="AC185" s="1" t="s">
        <v>1238</v>
      </c>
      <c r="AD185" s="1" t="s">
        <v>377</v>
      </c>
      <c r="AE185" s="1" t="s">
        <v>1239</v>
      </c>
      <c r="AF185" s="1" t="s">
        <v>1153</v>
      </c>
      <c r="AG185" s="1" t="s">
        <v>32</v>
      </c>
      <c r="AH185" s="1" t="s">
        <v>1240</v>
      </c>
      <c r="AI185" s="1" t="s">
        <v>524</v>
      </c>
      <c r="AJ185" s="1" t="s">
        <v>1241</v>
      </c>
      <c r="AK185" s="1" t="s">
        <v>245</v>
      </c>
      <c r="AL185" s="1">
        <v>-273</v>
      </c>
      <c r="AM185" s="1" t="s">
        <v>1227</v>
      </c>
      <c r="AN185" s="1" t="s">
        <v>543</v>
      </c>
      <c r="AO185" s="1" t="s">
        <v>528</v>
      </c>
      <c r="AP185" s="1" t="s">
        <v>113</v>
      </c>
      <c r="AQ185" s="1" t="s">
        <v>113</v>
      </c>
      <c r="AR185" s="1" t="s">
        <v>113</v>
      </c>
      <c r="AS185" s="1" t="s">
        <v>78</v>
      </c>
      <c r="AT185" s="1" t="s">
        <v>57</v>
      </c>
      <c r="AU185" s="1"/>
    </row>
    <row r="186" spans="2:47" ht="18" customHeight="1" x14ac:dyDescent="0.2">
      <c r="B186" s="16" t="s">
        <v>1372</v>
      </c>
      <c r="C186" s="1" t="s">
        <v>1394</v>
      </c>
      <c r="D186" s="22" t="s">
        <v>1233</v>
      </c>
      <c r="E186" s="22" t="s">
        <v>32</v>
      </c>
      <c r="F186" s="22" t="s">
        <v>1235</v>
      </c>
      <c r="G186" s="23" t="s">
        <v>32</v>
      </c>
      <c r="H186" s="23" t="s">
        <v>32</v>
      </c>
      <c r="I186" s="23" t="s">
        <v>32</v>
      </c>
      <c r="J186" s="23" t="s">
        <v>59</v>
      </c>
      <c r="K186" s="22" t="s">
        <v>1236</v>
      </c>
      <c r="L186" s="22" t="s">
        <v>1065</v>
      </c>
      <c r="M186" s="22" t="s">
        <v>32</v>
      </c>
      <c r="N186" s="22" t="s">
        <v>32</v>
      </c>
      <c r="O186" s="23" t="s">
        <v>821</v>
      </c>
      <c r="P186" s="23" t="s">
        <v>746</v>
      </c>
      <c r="Q186" s="22" t="s">
        <v>32</v>
      </c>
      <c r="R186" s="22" t="s">
        <v>32</v>
      </c>
      <c r="S186" s="22" t="s">
        <v>32</v>
      </c>
      <c r="T186" s="23" t="s">
        <v>1237</v>
      </c>
      <c r="U186" s="22" t="s">
        <v>32</v>
      </c>
      <c r="V186" s="22" t="s">
        <v>226</v>
      </c>
      <c r="W186" s="23" t="s">
        <v>32</v>
      </c>
      <c r="X186" s="22" t="s">
        <v>42</v>
      </c>
      <c r="Y186" s="22" t="s">
        <v>32</v>
      </c>
      <c r="Z186" s="22">
        <v>2.4</v>
      </c>
      <c r="AA186" s="22" t="s">
        <v>914</v>
      </c>
      <c r="AB186" s="1" t="s">
        <v>1166</v>
      </c>
      <c r="AC186" s="1" t="s">
        <v>1242</v>
      </c>
      <c r="AD186" s="1" t="s">
        <v>520</v>
      </c>
      <c r="AE186" s="1" t="s">
        <v>1243</v>
      </c>
      <c r="AF186" s="1" t="s">
        <v>1244</v>
      </c>
      <c r="AG186" s="1" t="s">
        <v>32</v>
      </c>
      <c r="AH186" s="1" t="s">
        <v>1245</v>
      </c>
      <c r="AI186" s="1" t="s">
        <v>524</v>
      </c>
      <c r="AJ186" s="1" t="s">
        <v>1241</v>
      </c>
      <c r="AK186" s="1" t="s">
        <v>245</v>
      </c>
      <c r="AL186" s="1">
        <v>-273</v>
      </c>
      <c r="AM186" s="1" t="s">
        <v>1227</v>
      </c>
      <c r="AN186" s="1" t="s">
        <v>543</v>
      </c>
      <c r="AO186" s="1" t="s">
        <v>528</v>
      </c>
      <c r="AP186" s="1" t="s">
        <v>113</v>
      </c>
      <c r="AQ186" s="1" t="s">
        <v>113</v>
      </c>
      <c r="AR186" s="1" t="s">
        <v>113</v>
      </c>
      <c r="AS186" s="1" t="s">
        <v>78</v>
      </c>
      <c r="AT186" s="1" t="s">
        <v>57</v>
      </c>
      <c r="AU186" s="1"/>
    </row>
    <row r="187" spans="2:47" ht="18" customHeight="1" x14ac:dyDescent="0.2">
      <c r="B187" s="16" t="s">
        <v>1372</v>
      </c>
      <c r="C187" s="1" t="s">
        <v>1394</v>
      </c>
      <c r="D187" s="22" t="s">
        <v>1234</v>
      </c>
      <c r="E187" s="22" t="s">
        <v>32</v>
      </c>
      <c r="F187" s="22" t="s">
        <v>1235</v>
      </c>
      <c r="G187" s="23" t="s">
        <v>32</v>
      </c>
      <c r="H187" s="23" t="s">
        <v>32</v>
      </c>
      <c r="I187" s="23" t="s">
        <v>32</v>
      </c>
      <c r="J187" s="23" t="s">
        <v>59</v>
      </c>
      <c r="K187" s="22" t="s">
        <v>1236</v>
      </c>
      <c r="L187" s="22" t="s">
        <v>1065</v>
      </c>
      <c r="M187" s="22" t="s">
        <v>32</v>
      </c>
      <c r="N187" s="22" t="s">
        <v>32</v>
      </c>
      <c r="O187" s="23" t="s">
        <v>821</v>
      </c>
      <c r="P187" s="23" t="s">
        <v>746</v>
      </c>
      <c r="Q187" s="22" t="s">
        <v>32</v>
      </c>
      <c r="R187" s="22" t="s">
        <v>32</v>
      </c>
      <c r="S187" s="22" t="s">
        <v>32</v>
      </c>
      <c r="T187" s="23" t="s">
        <v>1237</v>
      </c>
      <c r="U187" s="22" t="s">
        <v>32</v>
      </c>
      <c r="V187" s="22" t="s">
        <v>226</v>
      </c>
      <c r="W187" s="23" t="s">
        <v>32</v>
      </c>
      <c r="X187" s="22" t="s">
        <v>42</v>
      </c>
      <c r="Y187" s="22" t="s">
        <v>32</v>
      </c>
      <c r="Z187" s="22">
        <v>2.4</v>
      </c>
      <c r="AA187" s="22" t="s">
        <v>914</v>
      </c>
      <c r="AB187" s="1" t="s">
        <v>1166</v>
      </c>
      <c r="AC187" s="1" t="s">
        <v>1246</v>
      </c>
      <c r="AD187" s="1" t="s">
        <v>1247</v>
      </c>
      <c r="AE187" s="1" t="s">
        <v>1243</v>
      </c>
      <c r="AF187" s="1" t="s">
        <v>539</v>
      </c>
      <c r="AG187" s="1" t="s">
        <v>32</v>
      </c>
      <c r="AH187" s="1" t="s">
        <v>1245</v>
      </c>
      <c r="AI187" s="1" t="s">
        <v>524</v>
      </c>
      <c r="AJ187" s="1" t="s">
        <v>1241</v>
      </c>
      <c r="AK187" s="1" t="s">
        <v>245</v>
      </c>
      <c r="AL187" s="1">
        <v>-273</v>
      </c>
      <c r="AM187" s="1" t="s">
        <v>1227</v>
      </c>
      <c r="AN187" s="1" t="s">
        <v>543</v>
      </c>
      <c r="AO187" s="1" t="s">
        <v>528</v>
      </c>
      <c r="AP187" s="1" t="s">
        <v>113</v>
      </c>
      <c r="AQ187" s="1" t="s">
        <v>113</v>
      </c>
      <c r="AR187" s="1" t="s">
        <v>113</v>
      </c>
      <c r="AS187" s="1" t="s">
        <v>78</v>
      </c>
      <c r="AT187" s="1" t="s">
        <v>57</v>
      </c>
      <c r="AU187" s="1"/>
    </row>
    <row r="188" spans="2:47" ht="18" customHeight="1" x14ac:dyDescent="0.2">
      <c r="B188" s="16" t="s">
        <v>1372</v>
      </c>
      <c r="C188" s="1" t="s">
        <v>1394</v>
      </c>
      <c r="D188" s="22" t="s">
        <v>529</v>
      </c>
      <c r="E188" s="22" t="s">
        <v>32</v>
      </c>
      <c r="F188" s="22" t="s">
        <v>1235</v>
      </c>
      <c r="G188" s="23" t="s">
        <v>32</v>
      </c>
      <c r="H188" s="23" t="s">
        <v>32</v>
      </c>
      <c r="I188" s="23" t="s">
        <v>32</v>
      </c>
      <c r="J188" s="23" t="s">
        <v>59</v>
      </c>
      <c r="K188" s="22" t="s">
        <v>1236</v>
      </c>
      <c r="L188" s="22" t="s">
        <v>1065</v>
      </c>
      <c r="M188" s="22" t="s">
        <v>32</v>
      </c>
      <c r="N188" s="22" t="s">
        <v>32</v>
      </c>
      <c r="O188" s="23" t="s">
        <v>821</v>
      </c>
      <c r="P188" s="23" t="s">
        <v>746</v>
      </c>
      <c r="Q188" s="22" t="s">
        <v>32</v>
      </c>
      <c r="R188" s="22" t="s">
        <v>32</v>
      </c>
      <c r="S188" s="22" t="s">
        <v>32</v>
      </c>
      <c r="T188" s="23" t="s">
        <v>1237</v>
      </c>
      <c r="U188" s="22" t="s">
        <v>32</v>
      </c>
      <c r="V188" s="22" t="s">
        <v>226</v>
      </c>
      <c r="W188" s="23" t="s">
        <v>32</v>
      </c>
      <c r="X188" s="22" t="s">
        <v>42</v>
      </c>
      <c r="Y188" s="22" t="s">
        <v>32</v>
      </c>
      <c r="Z188" s="22">
        <v>2.4</v>
      </c>
      <c r="AA188" s="22" t="s">
        <v>914</v>
      </c>
      <c r="AB188" s="1" t="s">
        <v>1166</v>
      </c>
      <c r="AC188" s="1" t="s">
        <v>296</v>
      </c>
      <c r="AD188" s="1" t="s">
        <v>163</v>
      </c>
      <c r="AE188" s="1" t="s">
        <v>1015</v>
      </c>
      <c r="AF188" s="1" t="s">
        <v>1248</v>
      </c>
      <c r="AG188" s="1" t="s">
        <v>32</v>
      </c>
      <c r="AH188" s="1" t="s">
        <v>1249</v>
      </c>
      <c r="AI188" s="1" t="s">
        <v>524</v>
      </c>
      <c r="AJ188" s="1" t="s">
        <v>1241</v>
      </c>
      <c r="AK188" s="1" t="s">
        <v>245</v>
      </c>
      <c r="AL188" s="1">
        <v>-273</v>
      </c>
      <c r="AM188" s="1" t="s">
        <v>1227</v>
      </c>
      <c r="AN188" s="1" t="s">
        <v>543</v>
      </c>
      <c r="AO188" s="1" t="s">
        <v>528</v>
      </c>
      <c r="AP188" s="1" t="s">
        <v>113</v>
      </c>
      <c r="AQ188" s="1" t="s">
        <v>113</v>
      </c>
      <c r="AR188" s="1" t="s">
        <v>113</v>
      </c>
      <c r="AS188" s="1" t="s">
        <v>78</v>
      </c>
      <c r="AT188" s="1" t="s">
        <v>57</v>
      </c>
      <c r="AU188" s="1"/>
    </row>
    <row r="189" spans="2:47" ht="18" customHeight="1" x14ac:dyDescent="0.2">
      <c r="B189" s="16" t="s">
        <v>1373</v>
      </c>
      <c r="C189" s="1" t="s">
        <v>1393</v>
      </c>
      <c r="D189" s="22" t="s">
        <v>1143</v>
      </c>
      <c r="E189" s="22" t="s">
        <v>32</v>
      </c>
      <c r="F189" s="22" t="s">
        <v>1250</v>
      </c>
      <c r="G189" s="23" t="s">
        <v>32</v>
      </c>
      <c r="H189" s="23" t="s">
        <v>32</v>
      </c>
      <c r="I189" s="23" t="s">
        <v>32</v>
      </c>
      <c r="J189" s="23" t="s">
        <v>39</v>
      </c>
      <c r="K189" s="22" t="s">
        <v>59</v>
      </c>
      <c r="L189" s="22" t="s">
        <v>1251</v>
      </c>
      <c r="M189" s="22" t="s">
        <v>32</v>
      </c>
      <c r="N189" s="22" t="s">
        <v>32</v>
      </c>
      <c r="O189" s="23" t="s">
        <v>1252</v>
      </c>
      <c r="P189" s="23" t="s">
        <v>59</v>
      </c>
      <c r="Q189" s="22" t="s">
        <v>32</v>
      </c>
      <c r="R189" s="22" t="s">
        <v>32</v>
      </c>
      <c r="S189" s="22" t="s">
        <v>32</v>
      </c>
      <c r="T189" s="23" t="s">
        <v>701</v>
      </c>
      <c r="U189" s="22" t="s">
        <v>32</v>
      </c>
      <c r="V189" s="22" t="s">
        <v>59</v>
      </c>
      <c r="W189" s="23" t="s">
        <v>32</v>
      </c>
      <c r="X189" s="22" t="s">
        <v>226</v>
      </c>
      <c r="Y189" s="22" t="s">
        <v>32</v>
      </c>
      <c r="Z189" s="22">
        <v>1.35</v>
      </c>
      <c r="AA189" s="22" t="s">
        <v>386</v>
      </c>
      <c r="AB189" s="1" t="s">
        <v>884</v>
      </c>
      <c r="AC189" s="1" t="s">
        <v>1253</v>
      </c>
      <c r="AD189" s="1" t="s">
        <v>1225</v>
      </c>
      <c r="AE189" s="1" t="s">
        <v>1147</v>
      </c>
      <c r="AF189" s="1" t="s">
        <v>615</v>
      </c>
      <c r="AG189" s="1" t="s">
        <v>32</v>
      </c>
      <c r="AH189" s="1" t="s">
        <v>1226</v>
      </c>
      <c r="AI189" s="1" t="s">
        <v>524</v>
      </c>
      <c r="AJ189" s="1" t="s">
        <v>1216</v>
      </c>
      <c r="AK189" s="1" t="s">
        <v>245</v>
      </c>
      <c r="AL189" s="1">
        <v>-273</v>
      </c>
      <c r="AM189" s="1" t="s">
        <v>1254</v>
      </c>
      <c r="AN189" s="1" t="s">
        <v>1255</v>
      </c>
      <c r="AO189" s="1" t="s">
        <v>528</v>
      </c>
      <c r="AP189" s="1" t="s">
        <v>137</v>
      </c>
      <c r="AQ189" s="1" t="s">
        <v>113</v>
      </c>
      <c r="AR189" s="1" t="s">
        <v>113</v>
      </c>
      <c r="AS189" s="1" t="s">
        <v>78</v>
      </c>
      <c r="AT189" s="1" t="s">
        <v>57</v>
      </c>
      <c r="AU189" s="1"/>
    </row>
    <row r="190" spans="2:47" ht="18" customHeight="1" x14ac:dyDescent="0.2">
      <c r="B190" s="16" t="s">
        <v>1373</v>
      </c>
      <c r="C190" s="1" t="s">
        <v>1393</v>
      </c>
      <c r="D190" s="22" t="s">
        <v>294</v>
      </c>
      <c r="E190" s="22" t="s">
        <v>32</v>
      </c>
      <c r="F190" s="22" t="s">
        <v>1250</v>
      </c>
      <c r="G190" s="23" t="s">
        <v>32</v>
      </c>
      <c r="H190" s="23" t="s">
        <v>32</v>
      </c>
      <c r="I190" s="23" t="s">
        <v>32</v>
      </c>
      <c r="J190" s="23" t="s">
        <v>39</v>
      </c>
      <c r="K190" s="22" t="s">
        <v>59</v>
      </c>
      <c r="L190" s="22" t="s">
        <v>1251</v>
      </c>
      <c r="M190" s="22" t="s">
        <v>32</v>
      </c>
      <c r="N190" s="22" t="s">
        <v>32</v>
      </c>
      <c r="O190" s="23" t="s">
        <v>1252</v>
      </c>
      <c r="P190" s="23" t="s">
        <v>59</v>
      </c>
      <c r="Q190" s="22" t="s">
        <v>32</v>
      </c>
      <c r="R190" s="22" t="s">
        <v>32</v>
      </c>
      <c r="S190" s="22" t="s">
        <v>32</v>
      </c>
      <c r="T190" s="23" t="s">
        <v>701</v>
      </c>
      <c r="U190" s="22" t="s">
        <v>32</v>
      </c>
      <c r="V190" s="22" t="s">
        <v>59</v>
      </c>
      <c r="W190" s="23" t="s">
        <v>32</v>
      </c>
      <c r="X190" s="22" t="s">
        <v>226</v>
      </c>
      <c r="Y190" s="22" t="s">
        <v>32</v>
      </c>
      <c r="Z190" s="22">
        <v>1.35</v>
      </c>
      <c r="AA190" s="22" t="s">
        <v>386</v>
      </c>
      <c r="AB190" s="1" t="s">
        <v>884</v>
      </c>
      <c r="AC190" s="1" t="s">
        <v>1256</v>
      </c>
      <c r="AD190" s="1" t="s">
        <v>1257</v>
      </c>
      <c r="AE190" s="1" t="s">
        <v>1157</v>
      </c>
      <c r="AF190" s="1" t="s">
        <v>909</v>
      </c>
      <c r="AG190" s="1" t="s">
        <v>32</v>
      </c>
      <c r="AH190" s="1" t="s">
        <v>1258</v>
      </c>
      <c r="AI190" s="1" t="s">
        <v>524</v>
      </c>
      <c r="AJ190" s="1" t="s">
        <v>1216</v>
      </c>
      <c r="AK190" s="1" t="s">
        <v>245</v>
      </c>
      <c r="AL190" s="1">
        <v>-273</v>
      </c>
      <c r="AM190" s="1" t="s">
        <v>1254</v>
      </c>
      <c r="AN190" s="1" t="s">
        <v>1255</v>
      </c>
      <c r="AO190" s="1" t="s">
        <v>528</v>
      </c>
      <c r="AP190" s="1" t="s">
        <v>137</v>
      </c>
      <c r="AQ190" s="1" t="s">
        <v>113</v>
      </c>
      <c r="AR190" s="1" t="s">
        <v>113</v>
      </c>
      <c r="AS190" s="1" t="s">
        <v>78</v>
      </c>
      <c r="AT190" s="1" t="s">
        <v>57</v>
      </c>
      <c r="AU190" s="1"/>
    </row>
    <row r="191" spans="2:47" ht="18" customHeight="1" x14ac:dyDescent="0.2">
      <c r="B191" s="16" t="s">
        <v>1374</v>
      </c>
      <c r="C191" s="1" t="s">
        <v>1392</v>
      </c>
      <c r="D191" s="22" t="s">
        <v>1143</v>
      </c>
      <c r="E191" s="22" t="s">
        <v>32</v>
      </c>
      <c r="F191" s="22" t="s">
        <v>1261</v>
      </c>
      <c r="G191" s="23" t="s">
        <v>32</v>
      </c>
      <c r="H191" s="23" t="s">
        <v>32</v>
      </c>
      <c r="I191" s="23" t="s">
        <v>32</v>
      </c>
      <c r="J191" s="23" t="s">
        <v>1262</v>
      </c>
      <c r="K191" s="22" t="s">
        <v>1263</v>
      </c>
      <c r="L191" s="22" t="s">
        <v>550</v>
      </c>
      <c r="M191" s="22" t="s">
        <v>32</v>
      </c>
      <c r="N191" s="22" t="s">
        <v>32</v>
      </c>
      <c r="O191" s="23" t="s">
        <v>1183</v>
      </c>
      <c r="P191" s="23" t="s">
        <v>226</v>
      </c>
      <c r="Q191" s="22" t="s">
        <v>32</v>
      </c>
      <c r="R191" s="22" t="s">
        <v>32</v>
      </c>
      <c r="S191" s="22" t="s">
        <v>32</v>
      </c>
      <c r="T191" s="23" t="s">
        <v>596</v>
      </c>
      <c r="U191" s="22" t="s">
        <v>32</v>
      </c>
      <c r="V191" s="22" t="s">
        <v>226</v>
      </c>
      <c r="W191" s="23" t="s">
        <v>32</v>
      </c>
      <c r="X191" s="22" t="s">
        <v>42</v>
      </c>
      <c r="Y191" s="22" t="s">
        <v>32</v>
      </c>
      <c r="Z191" s="22">
        <v>2.5</v>
      </c>
      <c r="AA191" s="22" t="s">
        <v>1201</v>
      </c>
      <c r="AB191" s="1" t="s">
        <v>1202</v>
      </c>
      <c r="AC191" s="1" t="s">
        <v>1214</v>
      </c>
      <c r="AD191" s="1" t="s">
        <v>1264</v>
      </c>
      <c r="AE191" s="1" t="s">
        <v>1131</v>
      </c>
      <c r="AF191" s="1" t="s">
        <v>1265</v>
      </c>
      <c r="AG191" s="1">
        <v>63</v>
      </c>
      <c r="AH191" s="1" t="s">
        <v>1266</v>
      </c>
      <c r="AI191" s="1" t="s">
        <v>524</v>
      </c>
      <c r="AJ191" s="1" t="s">
        <v>1241</v>
      </c>
      <c r="AK191" s="1" t="s">
        <v>245</v>
      </c>
      <c r="AL191" s="1">
        <v>-273</v>
      </c>
      <c r="AM191" s="1" t="s">
        <v>526</v>
      </c>
      <c r="AN191" s="1" t="s">
        <v>1267</v>
      </c>
      <c r="AO191" s="1" t="s">
        <v>497</v>
      </c>
      <c r="AP191" s="1" t="s">
        <v>137</v>
      </c>
      <c r="AQ191" s="1" t="s">
        <v>137</v>
      </c>
      <c r="AR191" s="1" t="s">
        <v>113</v>
      </c>
      <c r="AS191" s="1" t="s">
        <v>113</v>
      </c>
      <c r="AT191" s="1" t="s">
        <v>57</v>
      </c>
      <c r="AU191" s="1"/>
    </row>
    <row r="192" spans="2:47" ht="18" customHeight="1" x14ac:dyDescent="0.2">
      <c r="B192" s="16" t="s">
        <v>1374</v>
      </c>
      <c r="C192" s="1" t="s">
        <v>1392</v>
      </c>
      <c r="D192" s="22" t="s">
        <v>606</v>
      </c>
      <c r="E192" s="22" t="s">
        <v>32</v>
      </c>
      <c r="F192" s="22" t="s">
        <v>1261</v>
      </c>
      <c r="G192" s="23" t="s">
        <v>32</v>
      </c>
      <c r="H192" s="23" t="s">
        <v>32</v>
      </c>
      <c r="I192" s="23" t="s">
        <v>32</v>
      </c>
      <c r="J192" s="23" t="s">
        <v>1262</v>
      </c>
      <c r="K192" s="22" t="s">
        <v>1263</v>
      </c>
      <c r="L192" s="22" t="s">
        <v>550</v>
      </c>
      <c r="M192" s="22" t="s">
        <v>32</v>
      </c>
      <c r="N192" s="22" t="s">
        <v>32</v>
      </c>
      <c r="O192" s="23" t="s">
        <v>1183</v>
      </c>
      <c r="P192" s="23" t="s">
        <v>226</v>
      </c>
      <c r="Q192" s="22" t="s">
        <v>32</v>
      </c>
      <c r="R192" s="22" t="s">
        <v>32</v>
      </c>
      <c r="S192" s="22" t="s">
        <v>32</v>
      </c>
      <c r="T192" s="23" t="s">
        <v>596</v>
      </c>
      <c r="U192" s="22" t="s">
        <v>32</v>
      </c>
      <c r="V192" s="22" t="s">
        <v>226</v>
      </c>
      <c r="W192" s="23" t="s">
        <v>32</v>
      </c>
      <c r="X192" s="22" t="s">
        <v>42</v>
      </c>
      <c r="Y192" s="22" t="s">
        <v>32</v>
      </c>
      <c r="Z192" s="22">
        <v>2.5</v>
      </c>
      <c r="AA192" s="22" t="s">
        <v>1201</v>
      </c>
      <c r="AB192" s="1" t="s">
        <v>1202</v>
      </c>
      <c r="AC192" s="1" t="s">
        <v>1214</v>
      </c>
      <c r="AD192" s="1" t="s">
        <v>1264</v>
      </c>
      <c r="AE192" s="1" t="s">
        <v>1131</v>
      </c>
      <c r="AF192" s="1" t="s">
        <v>1268</v>
      </c>
      <c r="AG192" s="1">
        <v>57</v>
      </c>
      <c r="AH192" s="1" t="s">
        <v>1266</v>
      </c>
      <c r="AI192" s="1" t="s">
        <v>524</v>
      </c>
      <c r="AJ192" s="1" t="s">
        <v>1269</v>
      </c>
      <c r="AK192" s="1" t="s">
        <v>245</v>
      </c>
      <c r="AL192" s="1">
        <v>-273</v>
      </c>
      <c r="AM192" s="1" t="s">
        <v>526</v>
      </c>
      <c r="AN192" s="1" t="s">
        <v>1267</v>
      </c>
      <c r="AO192" s="1" t="s">
        <v>497</v>
      </c>
      <c r="AP192" s="1" t="s">
        <v>137</v>
      </c>
      <c r="AQ192" s="1" t="s">
        <v>137</v>
      </c>
      <c r="AR192" s="1" t="s">
        <v>113</v>
      </c>
      <c r="AS192" s="1" t="s">
        <v>113</v>
      </c>
      <c r="AT192" s="1" t="s">
        <v>57</v>
      </c>
      <c r="AU192" s="1"/>
    </row>
    <row r="193" spans="2:47" ht="18" customHeight="1" x14ac:dyDescent="0.2">
      <c r="B193" s="16" t="s">
        <v>1374</v>
      </c>
      <c r="C193" s="1" t="s">
        <v>1392</v>
      </c>
      <c r="D193" s="22" t="s">
        <v>1259</v>
      </c>
      <c r="E193" s="22" t="s">
        <v>32</v>
      </c>
      <c r="F193" s="22" t="s">
        <v>1261</v>
      </c>
      <c r="G193" s="23" t="s">
        <v>32</v>
      </c>
      <c r="H193" s="23" t="s">
        <v>32</v>
      </c>
      <c r="I193" s="23" t="s">
        <v>32</v>
      </c>
      <c r="J193" s="23" t="s">
        <v>1262</v>
      </c>
      <c r="K193" s="22" t="s">
        <v>1263</v>
      </c>
      <c r="L193" s="22" t="s">
        <v>550</v>
      </c>
      <c r="M193" s="22" t="s">
        <v>32</v>
      </c>
      <c r="N193" s="22" t="s">
        <v>32</v>
      </c>
      <c r="O193" s="23" t="s">
        <v>1183</v>
      </c>
      <c r="P193" s="23" t="s">
        <v>226</v>
      </c>
      <c r="Q193" s="22" t="s">
        <v>32</v>
      </c>
      <c r="R193" s="22" t="s">
        <v>32</v>
      </c>
      <c r="S193" s="22" t="s">
        <v>32</v>
      </c>
      <c r="T193" s="23" t="s">
        <v>596</v>
      </c>
      <c r="U193" s="22" t="s">
        <v>32</v>
      </c>
      <c r="V193" s="22" t="s">
        <v>226</v>
      </c>
      <c r="W193" s="23" t="s">
        <v>32</v>
      </c>
      <c r="X193" s="22" t="s">
        <v>42</v>
      </c>
      <c r="Y193" s="22" t="s">
        <v>32</v>
      </c>
      <c r="Z193" s="22">
        <v>2.5</v>
      </c>
      <c r="AA193" s="22" t="s">
        <v>1201</v>
      </c>
      <c r="AB193" s="1" t="s">
        <v>1202</v>
      </c>
      <c r="AC193" s="1" t="s">
        <v>1270</v>
      </c>
      <c r="AD193" s="1" t="s">
        <v>1271</v>
      </c>
      <c r="AE193" s="1" t="s">
        <v>1272</v>
      </c>
      <c r="AF193" s="1" t="s">
        <v>1273</v>
      </c>
      <c r="AG193" s="1">
        <v>63</v>
      </c>
      <c r="AH193" s="1" t="s">
        <v>1274</v>
      </c>
      <c r="AI193" s="1" t="s">
        <v>524</v>
      </c>
      <c r="AJ193" s="1" t="s">
        <v>1269</v>
      </c>
      <c r="AK193" s="1" t="s">
        <v>245</v>
      </c>
      <c r="AL193" s="1">
        <v>-273</v>
      </c>
      <c r="AM193" s="1" t="s">
        <v>526</v>
      </c>
      <c r="AN193" s="1" t="s">
        <v>1267</v>
      </c>
      <c r="AO193" s="1" t="s">
        <v>497</v>
      </c>
      <c r="AP193" s="1" t="s">
        <v>137</v>
      </c>
      <c r="AQ193" s="1" t="s">
        <v>137</v>
      </c>
      <c r="AR193" s="1" t="s">
        <v>113</v>
      </c>
      <c r="AS193" s="1" t="s">
        <v>113</v>
      </c>
      <c r="AT193" s="1" t="s">
        <v>57</v>
      </c>
      <c r="AU193" s="1"/>
    </row>
    <row r="194" spans="2:47" ht="18" customHeight="1" x14ac:dyDescent="0.2">
      <c r="B194" s="16" t="s">
        <v>1374</v>
      </c>
      <c r="C194" s="1" t="s">
        <v>1392</v>
      </c>
      <c r="D194" s="22" t="s">
        <v>294</v>
      </c>
      <c r="E194" s="22" t="s">
        <v>32</v>
      </c>
      <c r="F194" s="22" t="s">
        <v>1261</v>
      </c>
      <c r="G194" s="23" t="s">
        <v>32</v>
      </c>
      <c r="H194" s="23" t="s">
        <v>32</v>
      </c>
      <c r="I194" s="23" t="s">
        <v>32</v>
      </c>
      <c r="J194" s="23" t="s">
        <v>1262</v>
      </c>
      <c r="K194" s="22" t="s">
        <v>1263</v>
      </c>
      <c r="L194" s="22" t="s">
        <v>550</v>
      </c>
      <c r="M194" s="22" t="s">
        <v>32</v>
      </c>
      <c r="N194" s="22" t="s">
        <v>32</v>
      </c>
      <c r="O194" s="23" t="s">
        <v>1183</v>
      </c>
      <c r="P194" s="23" t="s">
        <v>226</v>
      </c>
      <c r="Q194" s="22" t="s">
        <v>32</v>
      </c>
      <c r="R194" s="22" t="s">
        <v>32</v>
      </c>
      <c r="S194" s="22" t="s">
        <v>32</v>
      </c>
      <c r="T194" s="23" t="s">
        <v>596</v>
      </c>
      <c r="U194" s="22" t="s">
        <v>32</v>
      </c>
      <c r="V194" s="22" t="s">
        <v>226</v>
      </c>
      <c r="W194" s="23" t="s">
        <v>32</v>
      </c>
      <c r="X194" s="22" t="s">
        <v>42</v>
      </c>
      <c r="Y194" s="22" t="s">
        <v>32</v>
      </c>
      <c r="Z194" s="22">
        <v>2.5</v>
      </c>
      <c r="AA194" s="22" t="s">
        <v>1201</v>
      </c>
      <c r="AB194" s="1" t="s">
        <v>1202</v>
      </c>
      <c r="AC194" s="1" t="s">
        <v>1136</v>
      </c>
      <c r="AD194" s="1" t="s">
        <v>1275</v>
      </c>
      <c r="AE194" s="1" t="s">
        <v>1138</v>
      </c>
      <c r="AF194" s="1" t="s">
        <v>1276</v>
      </c>
      <c r="AG194" s="1">
        <v>93</v>
      </c>
      <c r="AH194" s="1" t="s">
        <v>1277</v>
      </c>
      <c r="AI194" s="1" t="s">
        <v>524</v>
      </c>
      <c r="AJ194" s="1" t="s">
        <v>1241</v>
      </c>
      <c r="AK194" s="1" t="s">
        <v>245</v>
      </c>
      <c r="AL194" s="1">
        <v>-273</v>
      </c>
      <c r="AM194" s="1" t="s">
        <v>1278</v>
      </c>
      <c r="AN194" s="1" t="s">
        <v>1267</v>
      </c>
      <c r="AO194" s="1" t="s">
        <v>855</v>
      </c>
      <c r="AP194" s="1" t="s">
        <v>137</v>
      </c>
      <c r="AQ194" s="1" t="s">
        <v>137</v>
      </c>
      <c r="AR194" s="1" t="s">
        <v>113</v>
      </c>
      <c r="AS194" s="1" t="s">
        <v>113</v>
      </c>
      <c r="AT194" s="1" t="s">
        <v>57</v>
      </c>
      <c r="AU194" s="1"/>
    </row>
    <row r="195" spans="2:47" ht="18" customHeight="1" x14ac:dyDescent="0.2">
      <c r="B195" s="16" t="s">
        <v>1374</v>
      </c>
      <c r="C195" s="1" t="s">
        <v>1392</v>
      </c>
      <c r="D195" s="22" t="s">
        <v>529</v>
      </c>
      <c r="E195" s="22" t="s">
        <v>32</v>
      </c>
      <c r="F195" s="22" t="s">
        <v>1261</v>
      </c>
      <c r="G195" s="23" t="s">
        <v>32</v>
      </c>
      <c r="H195" s="23" t="s">
        <v>32</v>
      </c>
      <c r="I195" s="23" t="s">
        <v>32</v>
      </c>
      <c r="J195" s="23" t="s">
        <v>1262</v>
      </c>
      <c r="K195" s="22" t="s">
        <v>1263</v>
      </c>
      <c r="L195" s="22" t="s">
        <v>550</v>
      </c>
      <c r="M195" s="22" t="s">
        <v>32</v>
      </c>
      <c r="N195" s="22" t="s">
        <v>32</v>
      </c>
      <c r="O195" s="23" t="s">
        <v>1183</v>
      </c>
      <c r="P195" s="23" t="s">
        <v>226</v>
      </c>
      <c r="Q195" s="22" t="s">
        <v>32</v>
      </c>
      <c r="R195" s="22" t="s">
        <v>32</v>
      </c>
      <c r="S195" s="22" t="s">
        <v>32</v>
      </c>
      <c r="T195" s="23" t="s">
        <v>596</v>
      </c>
      <c r="U195" s="22" t="s">
        <v>32</v>
      </c>
      <c r="V195" s="22" t="s">
        <v>226</v>
      </c>
      <c r="W195" s="23" t="s">
        <v>32</v>
      </c>
      <c r="X195" s="22" t="s">
        <v>42</v>
      </c>
      <c r="Y195" s="22" t="s">
        <v>32</v>
      </c>
      <c r="Z195" s="22">
        <v>2.5</v>
      </c>
      <c r="AA195" s="22" t="s">
        <v>1201</v>
      </c>
      <c r="AB195" s="1" t="s">
        <v>1279</v>
      </c>
      <c r="AC195" s="1" t="s">
        <v>1002</v>
      </c>
      <c r="AD195" s="1" t="s">
        <v>1280</v>
      </c>
      <c r="AE195" s="1" t="s">
        <v>1281</v>
      </c>
      <c r="AF195" s="1" t="s">
        <v>1282</v>
      </c>
      <c r="AG195" s="1">
        <v>88</v>
      </c>
      <c r="AH195" s="1" t="s">
        <v>1283</v>
      </c>
      <c r="AI195" s="1" t="s">
        <v>524</v>
      </c>
      <c r="AJ195" s="1" t="s">
        <v>1269</v>
      </c>
      <c r="AK195" s="1" t="s">
        <v>245</v>
      </c>
      <c r="AL195" s="1">
        <v>-273</v>
      </c>
      <c r="AM195" s="1" t="s">
        <v>526</v>
      </c>
      <c r="AN195" s="1" t="s">
        <v>1267</v>
      </c>
      <c r="AO195" s="1" t="s">
        <v>497</v>
      </c>
      <c r="AP195" s="1" t="s">
        <v>137</v>
      </c>
      <c r="AQ195" s="1" t="s">
        <v>137</v>
      </c>
      <c r="AR195" s="1" t="s">
        <v>113</v>
      </c>
      <c r="AS195" s="1" t="s">
        <v>113</v>
      </c>
      <c r="AT195" s="1" t="s">
        <v>57</v>
      </c>
      <c r="AU195" s="1"/>
    </row>
    <row r="196" spans="2:47" ht="18" customHeight="1" x14ac:dyDescent="0.2">
      <c r="B196" s="16" t="s">
        <v>1374</v>
      </c>
      <c r="C196" s="1" t="s">
        <v>1392</v>
      </c>
      <c r="D196" s="22" t="s">
        <v>583</v>
      </c>
      <c r="E196" s="22" t="s">
        <v>32</v>
      </c>
      <c r="F196" s="22" t="s">
        <v>1261</v>
      </c>
      <c r="G196" s="23" t="s">
        <v>32</v>
      </c>
      <c r="H196" s="23" t="s">
        <v>32</v>
      </c>
      <c r="I196" s="23" t="s">
        <v>32</v>
      </c>
      <c r="J196" s="23" t="s">
        <v>1262</v>
      </c>
      <c r="K196" s="22" t="s">
        <v>1263</v>
      </c>
      <c r="L196" s="22" t="s">
        <v>550</v>
      </c>
      <c r="M196" s="22" t="s">
        <v>32</v>
      </c>
      <c r="N196" s="22" t="s">
        <v>32</v>
      </c>
      <c r="O196" s="23" t="s">
        <v>1183</v>
      </c>
      <c r="P196" s="23" t="s">
        <v>226</v>
      </c>
      <c r="Q196" s="22" t="s">
        <v>32</v>
      </c>
      <c r="R196" s="22" t="s">
        <v>32</v>
      </c>
      <c r="S196" s="22" t="s">
        <v>32</v>
      </c>
      <c r="T196" s="23" t="s">
        <v>596</v>
      </c>
      <c r="U196" s="22" t="s">
        <v>32</v>
      </c>
      <c r="V196" s="22" t="s">
        <v>226</v>
      </c>
      <c r="W196" s="23" t="s">
        <v>32</v>
      </c>
      <c r="X196" s="22" t="s">
        <v>42</v>
      </c>
      <c r="Y196" s="22" t="s">
        <v>32</v>
      </c>
      <c r="Z196" s="22">
        <v>2.5</v>
      </c>
      <c r="AA196" s="22" t="s">
        <v>1201</v>
      </c>
      <c r="AB196" s="1" t="s">
        <v>1202</v>
      </c>
      <c r="AC196" s="1" t="s">
        <v>1284</v>
      </c>
      <c r="AD196" s="1" t="s">
        <v>1285</v>
      </c>
      <c r="AE196" s="1" t="s">
        <v>1138</v>
      </c>
      <c r="AF196" s="1" t="s">
        <v>1276</v>
      </c>
      <c r="AG196" s="1">
        <v>93</v>
      </c>
      <c r="AH196" s="1" t="s">
        <v>1286</v>
      </c>
      <c r="AI196" s="1" t="s">
        <v>524</v>
      </c>
      <c r="AJ196" s="1" t="s">
        <v>1241</v>
      </c>
      <c r="AK196" s="1" t="s">
        <v>245</v>
      </c>
      <c r="AL196" s="1">
        <v>-273</v>
      </c>
      <c r="AM196" s="1" t="s">
        <v>526</v>
      </c>
      <c r="AN196" s="1" t="s">
        <v>1267</v>
      </c>
      <c r="AO196" s="1" t="s">
        <v>497</v>
      </c>
      <c r="AP196" s="1" t="s">
        <v>137</v>
      </c>
      <c r="AQ196" s="1" t="s">
        <v>137</v>
      </c>
      <c r="AR196" s="1" t="s">
        <v>113</v>
      </c>
      <c r="AS196" s="1" t="s">
        <v>113</v>
      </c>
      <c r="AT196" s="1" t="s">
        <v>57</v>
      </c>
      <c r="AU196" s="1"/>
    </row>
    <row r="197" spans="2:47" ht="18" customHeight="1" x14ac:dyDescent="0.2">
      <c r="B197" s="16" t="s">
        <v>1374</v>
      </c>
      <c r="C197" s="1" t="s">
        <v>1391</v>
      </c>
      <c r="D197" s="22" t="s">
        <v>1260</v>
      </c>
      <c r="E197" s="22" t="s">
        <v>32</v>
      </c>
      <c r="F197" s="22" t="s">
        <v>1261</v>
      </c>
      <c r="G197" s="23" t="s">
        <v>32</v>
      </c>
      <c r="H197" s="23" t="s">
        <v>32</v>
      </c>
      <c r="I197" s="23" t="s">
        <v>32</v>
      </c>
      <c r="J197" s="23" t="s">
        <v>1262</v>
      </c>
      <c r="K197" s="22" t="s">
        <v>1263</v>
      </c>
      <c r="L197" s="22" t="s">
        <v>550</v>
      </c>
      <c r="M197" s="22" t="s">
        <v>32</v>
      </c>
      <c r="N197" s="22" t="s">
        <v>32</v>
      </c>
      <c r="O197" s="23" t="s">
        <v>1183</v>
      </c>
      <c r="P197" s="23" t="s">
        <v>226</v>
      </c>
      <c r="Q197" s="22" t="s">
        <v>32</v>
      </c>
      <c r="R197" s="22" t="s">
        <v>32</v>
      </c>
      <c r="S197" s="22" t="s">
        <v>32</v>
      </c>
      <c r="T197" s="23" t="s">
        <v>596</v>
      </c>
      <c r="U197" s="22" t="s">
        <v>32</v>
      </c>
      <c r="V197" s="22" t="s">
        <v>226</v>
      </c>
      <c r="W197" s="23" t="s">
        <v>32</v>
      </c>
      <c r="X197" s="22" t="s">
        <v>42</v>
      </c>
      <c r="Y197" s="22" t="s">
        <v>32</v>
      </c>
      <c r="Z197" s="22">
        <v>2.5</v>
      </c>
      <c r="AA197" s="22" t="s">
        <v>1201</v>
      </c>
      <c r="AB197" s="1" t="s">
        <v>1202</v>
      </c>
      <c r="AC197" s="1" t="s">
        <v>1284</v>
      </c>
      <c r="AD197" s="1" t="s">
        <v>1285</v>
      </c>
      <c r="AE197" s="1" t="s">
        <v>1138</v>
      </c>
      <c r="AF197" s="1" t="s">
        <v>1282</v>
      </c>
      <c r="AG197" s="1" t="s">
        <v>32</v>
      </c>
      <c r="AH197" s="1" t="s">
        <v>1286</v>
      </c>
      <c r="AI197" s="1" t="s">
        <v>524</v>
      </c>
      <c r="AJ197" s="1" t="s">
        <v>1241</v>
      </c>
      <c r="AK197" s="1" t="s">
        <v>245</v>
      </c>
      <c r="AL197" s="1">
        <v>-273</v>
      </c>
      <c r="AM197" s="1" t="s">
        <v>526</v>
      </c>
      <c r="AN197" s="1" t="s">
        <v>1267</v>
      </c>
      <c r="AO197" s="1" t="s">
        <v>497</v>
      </c>
      <c r="AP197" s="1" t="s">
        <v>137</v>
      </c>
      <c r="AQ197" s="1" t="s">
        <v>137</v>
      </c>
      <c r="AR197" s="1" t="s">
        <v>113</v>
      </c>
      <c r="AS197" s="1" t="s">
        <v>113</v>
      </c>
      <c r="AT197" s="1" t="s">
        <v>57</v>
      </c>
      <c r="AU197" s="1"/>
    </row>
    <row r="198" spans="2:47" ht="18" customHeight="1" x14ac:dyDescent="0.2">
      <c r="B198" s="1" t="s">
        <v>1434</v>
      </c>
      <c r="C198" s="1" t="s">
        <v>1435</v>
      </c>
      <c r="D198" s="24" t="s">
        <v>481</v>
      </c>
      <c r="E198" s="24" t="s">
        <v>32</v>
      </c>
      <c r="F198" s="22" t="s">
        <v>1436</v>
      </c>
      <c r="G198" s="23" t="s">
        <v>32</v>
      </c>
      <c r="H198" s="23" t="s">
        <v>32</v>
      </c>
      <c r="I198" s="23" t="s">
        <v>32</v>
      </c>
      <c r="J198" s="23" t="s">
        <v>59</v>
      </c>
      <c r="K198" s="22" t="s">
        <v>59</v>
      </c>
      <c r="L198" s="22" t="s">
        <v>40</v>
      </c>
      <c r="M198" s="22" t="s">
        <v>32</v>
      </c>
      <c r="N198" s="22" t="s">
        <v>32</v>
      </c>
      <c r="O198" s="23" t="s">
        <v>1437</v>
      </c>
      <c r="P198" s="23" t="s">
        <v>59</v>
      </c>
      <c r="Q198" s="22" t="s">
        <v>32</v>
      </c>
      <c r="R198" s="22" t="s">
        <v>32</v>
      </c>
      <c r="S198" s="22" t="s">
        <v>32</v>
      </c>
      <c r="T198" s="23" t="s">
        <v>1438</v>
      </c>
      <c r="U198" s="22" t="s">
        <v>32</v>
      </c>
      <c r="V198" s="22" t="s">
        <v>59</v>
      </c>
      <c r="W198" s="23" t="s">
        <v>32</v>
      </c>
      <c r="X198" s="22" t="s">
        <v>59</v>
      </c>
      <c r="Y198" s="22" t="s">
        <v>32</v>
      </c>
      <c r="Z198" s="22">
        <v>1.7</v>
      </c>
      <c r="AA198" s="22" t="s">
        <v>1439</v>
      </c>
      <c r="AB198" s="1" t="s">
        <v>1440</v>
      </c>
      <c r="AC198" s="1" t="s">
        <v>1212</v>
      </c>
      <c r="AD198" s="1" t="s">
        <v>1441</v>
      </c>
      <c r="AE198" s="1" t="s">
        <v>1442</v>
      </c>
      <c r="AF198" s="1" t="s">
        <v>1443</v>
      </c>
      <c r="AG198" s="1" t="s">
        <v>504</v>
      </c>
      <c r="AH198" s="1" t="s">
        <v>1444</v>
      </c>
      <c r="AI198" s="1" t="s">
        <v>524</v>
      </c>
      <c r="AJ198" s="1" t="s">
        <v>1445</v>
      </c>
      <c r="AK198" s="1" t="s">
        <v>245</v>
      </c>
      <c r="AL198" s="1">
        <v>-273</v>
      </c>
      <c r="AM198" s="1" t="s">
        <v>1446</v>
      </c>
      <c r="AN198" s="1" t="s">
        <v>1447</v>
      </c>
      <c r="AO198" s="1" t="s">
        <v>480</v>
      </c>
      <c r="AP198" s="1" t="s">
        <v>113</v>
      </c>
      <c r="AQ198" s="1" t="s">
        <v>137</v>
      </c>
      <c r="AR198" s="1" t="s">
        <v>113</v>
      </c>
      <c r="AS198" s="1" t="s">
        <v>78</v>
      </c>
      <c r="AT198" s="1" t="s">
        <v>57</v>
      </c>
      <c r="AU198" s="1"/>
    </row>
    <row r="199" spans="2:47" ht="18" customHeight="1" x14ac:dyDescent="0.2">
      <c r="B199" s="1" t="s">
        <v>1434</v>
      </c>
      <c r="C199" s="1" t="s">
        <v>1435</v>
      </c>
      <c r="D199" s="22" t="s">
        <v>1141</v>
      </c>
      <c r="E199" s="24" t="s">
        <v>32</v>
      </c>
      <c r="F199" s="22" t="s">
        <v>1436</v>
      </c>
      <c r="G199" s="23" t="s">
        <v>32</v>
      </c>
      <c r="H199" s="23" t="s">
        <v>32</v>
      </c>
      <c r="I199" s="23" t="s">
        <v>32</v>
      </c>
      <c r="J199" s="23" t="s">
        <v>59</v>
      </c>
      <c r="K199" s="22" t="s">
        <v>59</v>
      </c>
      <c r="L199" s="22" t="s">
        <v>40</v>
      </c>
      <c r="M199" s="22" t="s">
        <v>32</v>
      </c>
      <c r="N199" s="22" t="s">
        <v>32</v>
      </c>
      <c r="O199" s="23" t="s">
        <v>1437</v>
      </c>
      <c r="P199" s="23" t="s">
        <v>59</v>
      </c>
      <c r="Q199" s="22" t="s">
        <v>32</v>
      </c>
      <c r="R199" s="22" t="s">
        <v>32</v>
      </c>
      <c r="S199" s="22" t="s">
        <v>32</v>
      </c>
      <c r="T199" s="23" t="s">
        <v>1438</v>
      </c>
      <c r="U199" s="22" t="s">
        <v>32</v>
      </c>
      <c r="V199" s="22" t="s">
        <v>59</v>
      </c>
      <c r="W199" s="23" t="s">
        <v>32</v>
      </c>
      <c r="X199" s="22" t="s">
        <v>59</v>
      </c>
      <c r="Y199" s="22" t="s">
        <v>32</v>
      </c>
      <c r="Z199" s="22">
        <v>1.7</v>
      </c>
      <c r="AA199" s="22" t="s">
        <v>205</v>
      </c>
      <c r="AB199" s="1" t="s">
        <v>1440</v>
      </c>
      <c r="AC199" s="1" t="s">
        <v>1253</v>
      </c>
      <c r="AD199" s="1" t="s">
        <v>1451</v>
      </c>
      <c r="AE199" s="1" t="s">
        <v>1452</v>
      </c>
      <c r="AF199" s="1" t="s">
        <v>887</v>
      </c>
      <c r="AG199" s="1" t="s">
        <v>887</v>
      </c>
      <c r="AH199" s="1" t="s">
        <v>1453</v>
      </c>
      <c r="AI199" s="1" t="s">
        <v>524</v>
      </c>
      <c r="AJ199" s="1" t="s">
        <v>1445</v>
      </c>
      <c r="AK199" s="1" t="s">
        <v>245</v>
      </c>
      <c r="AL199" s="1">
        <v>-273</v>
      </c>
      <c r="AM199" s="1" t="s">
        <v>1149</v>
      </c>
      <c r="AN199" s="1" t="s">
        <v>1447</v>
      </c>
      <c r="AO199" s="1" t="s">
        <v>480</v>
      </c>
      <c r="AP199" s="1" t="s">
        <v>113</v>
      </c>
      <c r="AQ199" s="1" t="s">
        <v>137</v>
      </c>
      <c r="AR199" s="1" t="s">
        <v>113</v>
      </c>
      <c r="AS199" s="1" t="s">
        <v>78</v>
      </c>
      <c r="AT199" s="1" t="s">
        <v>57</v>
      </c>
      <c r="AU199" s="1"/>
    </row>
    <row r="200" spans="2:47" ht="18" customHeight="1" x14ac:dyDescent="0.2">
      <c r="B200" s="1" t="s">
        <v>1434</v>
      </c>
      <c r="C200" s="1" t="s">
        <v>1435</v>
      </c>
      <c r="D200" s="22" t="s">
        <v>1143</v>
      </c>
      <c r="E200" s="24" t="s">
        <v>32</v>
      </c>
      <c r="F200" s="22" t="s">
        <v>1436</v>
      </c>
      <c r="G200" s="23" t="s">
        <v>32</v>
      </c>
      <c r="H200" s="23" t="s">
        <v>32</v>
      </c>
      <c r="I200" s="23" t="s">
        <v>32</v>
      </c>
      <c r="J200" s="23" t="s">
        <v>59</v>
      </c>
      <c r="K200" s="22" t="s">
        <v>59</v>
      </c>
      <c r="L200" s="22" t="s">
        <v>40</v>
      </c>
      <c r="M200" s="22" t="s">
        <v>32</v>
      </c>
      <c r="N200" s="22" t="s">
        <v>32</v>
      </c>
      <c r="O200" s="23" t="s">
        <v>1437</v>
      </c>
      <c r="P200" s="23" t="s">
        <v>59</v>
      </c>
      <c r="Q200" s="22" t="s">
        <v>32</v>
      </c>
      <c r="R200" s="22" t="s">
        <v>32</v>
      </c>
      <c r="S200" s="22" t="s">
        <v>32</v>
      </c>
      <c r="T200" s="23" t="s">
        <v>1438</v>
      </c>
      <c r="U200" s="22" t="s">
        <v>32</v>
      </c>
      <c r="V200" s="22" t="s">
        <v>59</v>
      </c>
      <c r="W200" s="23" t="s">
        <v>32</v>
      </c>
      <c r="X200" s="22" t="s">
        <v>59</v>
      </c>
      <c r="Y200" s="22" t="s">
        <v>32</v>
      </c>
      <c r="Z200" s="22">
        <v>1.7</v>
      </c>
      <c r="AA200" s="22" t="s">
        <v>1439</v>
      </c>
      <c r="AB200" s="1" t="s">
        <v>1440</v>
      </c>
      <c r="AC200" s="1" t="s">
        <v>1454</v>
      </c>
      <c r="AD200" s="1" t="s">
        <v>1225</v>
      </c>
      <c r="AE200" s="1" t="s">
        <v>1131</v>
      </c>
      <c r="AF200" s="1" t="s">
        <v>490</v>
      </c>
      <c r="AG200" s="1" t="s">
        <v>490</v>
      </c>
      <c r="AH200" s="1" t="s">
        <v>1455</v>
      </c>
      <c r="AI200" s="1" t="s">
        <v>524</v>
      </c>
      <c r="AJ200" s="1" t="s">
        <v>1445</v>
      </c>
      <c r="AK200" s="1" t="s">
        <v>245</v>
      </c>
      <c r="AL200" s="1">
        <v>-273</v>
      </c>
      <c r="AM200" s="1" t="s">
        <v>1456</v>
      </c>
      <c r="AN200" s="1" t="s">
        <v>1447</v>
      </c>
      <c r="AO200" s="1" t="s">
        <v>480</v>
      </c>
      <c r="AP200" s="1" t="s">
        <v>113</v>
      </c>
      <c r="AQ200" s="1" t="s">
        <v>137</v>
      </c>
      <c r="AR200" s="1" t="s">
        <v>113</v>
      </c>
      <c r="AS200" s="1" t="s">
        <v>78</v>
      </c>
      <c r="AT200" s="1" t="s">
        <v>57</v>
      </c>
      <c r="AU200" s="1"/>
    </row>
    <row r="201" spans="2:47" ht="18" customHeight="1" x14ac:dyDescent="0.2">
      <c r="B201" s="1" t="s">
        <v>1434</v>
      </c>
      <c r="C201" s="1" t="s">
        <v>1435</v>
      </c>
      <c r="D201" s="22" t="s">
        <v>1142</v>
      </c>
      <c r="E201" s="24" t="s">
        <v>32</v>
      </c>
      <c r="F201" s="22" t="s">
        <v>1436</v>
      </c>
      <c r="G201" s="23" t="s">
        <v>32</v>
      </c>
      <c r="H201" s="23" t="s">
        <v>32</v>
      </c>
      <c r="I201" s="23" t="s">
        <v>32</v>
      </c>
      <c r="J201" s="23" t="s">
        <v>59</v>
      </c>
      <c r="K201" s="22" t="s">
        <v>59</v>
      </c>
      <c r="L201" s="22" t="s">
        <v>40</v>
      </c>
      <c r="M201" s="22" t="s">
        <v>32</v>
      </c>
      <c r="N201" s="22" t="s">
        <v>32</v>
      </c>
      <c r="O201" s="23" t="s">
        <v>1437</v>
      </c>
      <c r="P201" s="23" t="s">
        <v>59</v>
      </c>
      <c r="Q201" s="22" t="s">
        <v>32</v>
      </c>
      <c r="R201" s="22" t="s">
        <v>32</v>
      </c>
      <c r="S201" s="22" t="s">
        <v>32</v>
      </c>
      <c r="T201" s="23" t="s">
        <v>1438</v>
      </c>
      <c r="U201" s="22" t="s">
        <v>32</v>
      </c>
      <c r="V201" s="22" t="s">
        <v>59</v>
      </c>
      <c r="W201" s="23" t="s">
        <v>32</v>
      </c>
      <c r="X201" s="22" t="s">
        <v>59</v>
      </c>
      <c r="Y201" s="22" t="s">
        <v>32</v>
      </c>
      <c r="Z201" s="22">
        <v>1.7</v>
      </c>
      <c r="AA201" s="22" t="s">
        <v>205</v>
      </c>
      <c r="AB201" s="1" t="s">
        <v>1440</v>
      </c>
      <c r="AC201" s="1" t="s">
        <v>1270</v>
      </c>
      <c r="AD201" s="1" t="s">
        <v>1256</v>
      </c>
      <c r="AE201" s="1" t="s">
        <v>1157</v>
      </c>
      <c r="AF201" s="1" t="s">
        <v>1172</v>
      </c>
      <c r="AG201" s="1" t="s">
        <v>1019</v>
      </c>
      <c r="AH201" s="1" t="s">
        <v>1457</v>
      </c>
      <c r="AI201" s="1" t="s">
        <v>524</v>
      </c>
      <c r="AJ201" s="1" t="s">
        <v>1445</v>
      </c>
      <c r="AK201" s="1" t="s">
        <v>245</v>
      </c>
      <c r="AL201" s="1">
        <v>-273</v>
      </c>
      <c r="AM201" s="1" t="s">
        <v>1232</v>
      </c>
      <c r="AN201" s="1" t="s">
        <v>1447</v>
      </c>
      <c r="AO201" s="1" t="s">
        <v>605</v>
      </c>
      <c r="AP201" s="1" t="s">
        <v>113</v>
      </c>
      <c r="AQ201" s="1" t="s">
        <v>137</v>
      </c>
      <c r="AR201" s="1" t="s">
        <v>113</v>
      </c>
      <c r="AS201" s="1" t="s">
        <v>78</v>
      </c>
      <c r="AT201" s="1" t="s">
        <v>57</v>
      </c>
      <c r="AU201" s="1"/>
    </row>
    <row r="202" spans="2:47" ht="18" customHeight="1" x14ac:dyDescent="0.2">
      <c r="B202" s="1" t="s">
        <v>1459</v>
      </c>
      <c r="C202" s="1" t="s">
        <v>1458</v>
      </c>
      <c r="D202" s="22" t="s">
        <v>294</v>
      </c>
      <c r="E202" s="24" t="s">
        <v>32</v>
      </c>
      <c r="F202" s="22" t="s">
        <v>1436</v>
      </c>
      <c r="G202" s="23" t="s">
        <v>32</v>
      </c>
      <c r="H202" s="23" t="s">
        <v>32</v>
      </c>
      <c r="I202" s="23" t="s">
        <v>32</v>
      </c>
      <c r="J202" s="23" t="s">
        <v>59</v>
      </c>
      <c r="K202" s="22" t="s">
        <v>59</v>
      </c>
      <c r="L202" s="22" t="s">
        <v>40</v>
      </c>
      <c r="M202" s="22" t="s">
        <v>32</v>
      </c>
      <c r="N202" s="22" t="s">
        <v>32</v>
      </c>
      <c r="O202" s="23" t="s">
        <v>1437</v>
      </c>
      <c r="P202" s="23" t="s">
        <v>59</v>
      </c>
      <c r="Q202" s="22" t="s">
        <v>32</v>
      </c>
      <c r="R202" s="22" t="s">
        <v>32</v>
      </c>
      <c r="S202" s="22" t="s">
        <v>32</v>
      </c>
      <c r="T202" s="23" t="s">
        <v>1438</v>
      </c>
      <c r="U202" s="22" t="s">
        <v>32</v>
      </c>
      <c r="V202" s="22" t="s">
        <v>59</v>
      </c>
      <c r="W202" s="23" t="s">
        <v>32</v>
      </c>
      <c r="X202" s="22" t="s">
        <v>59</v>
      </c>
      <c r="Y202" s="22" t="s">
        <v>32</v>
      </c>
      <c r="Z202" s="22">
        <v>1.7</v>
      </c>
      <c r="AA202" s="22" t="s">
        <v>205</v>
      </c>
      <c r="AB202" s="1" t="s">
        <v>884</v>
      </c>
      <c r="AC202" s="1" t="s">
        <v>1130</v>
      </c>
      <c r="AD202" s="1" t="s">
        <v>1460</v>
      </c>
      <c r="AE202" s="1" t="s">
        <v>1461</v>
      </c>
      <c r="AF202" s="1" t="s">
        <v>483</v>
      </c>
      <c r="AG202" s="1" t="s">
        <v>499</v>
      </c>
      <c r="AH202" s="1" t="s">
        <v>1462</v>
      </c>
      <c r="AI202" s="1" t="s">
        <v>524</v>
      </c>
      <c r="AJ202" s="1" t="s">
        <v>1445</v>
      </c>
      <c r="AK202" s="1" t="s">
        <v>245</v>
      </c>
      <c r="AL202" s="1">
        <v>-273</v>
      </c>
      <c r="AM202" s="1" t="s">
        <v>918</v>
      </c>
      <c r="AN202" s="1" t="s">
        <v>1013</v>
      </c>
      <c r="AO202" s="1" t="s">
        <v>480</v>
      </c>
      <c r="AP202" s="1" t="s">
        <v>113</v>
      </c>
      <c r="AQ202" s="1" t="s">
        <v>137</v>
      </c>
      <c r="AR202" s="1" t="s">
        <v>113</v>
      </c>
      <c r="AS202" s="1" t="s">
        <v>78</v>
      </c>
      <c r="AT202" s="1" t="s">
        <v>57</v>
      </c>
      <c r="AU202" s="1"/>
    </row>
    <row r="203" spans="2:47" ht="18" customHeight="1" x14ac:dyDescent="0.2">
      <c r="B203" s="1" t="s">
        <v>1434</v>
      </c>
      <c r="C203" s="1" t="s">
        <v>1435</v>
      </c>
      <c r="D203" s="22" t="s">
        <v>1448</v>
      </c>
      <c r="E203" s="24" t="s">
        <v>32</v>
      </c>
      <c r="F203" s="22" t="s">
        <v>1436</v>
      </c>
      <c r="G203" s="23" t="s">
        <v>32</v>
      </c>
      <c r="H203" s="23" t="s">
        <v>32</v>
      </c>
      <c r="I203" s="23" t="s">
        <v>32</v>
      </c>
      <c r="J203" s="23" t="s">
        <v>59</v>
      </c>
      <c r="K203" s="22" t="s">
        <v>59</v>
      </c>
      <c r="L203" s="22" t="s">
        <v>40</v>
      </c>
      <c r="M203" s="22" t="s">
        <v>32</v>
      </c>
      <c r="N203" s="22" t="s">
        <v>32</v>
      </c>
      <c r="O203" s="23" t="s">
        <v>1437</v>
      </c>
      <c r="P203" s="23" t="s">
        <v>59</v>
      </c>
      <c r="Q203" s="22" t="s">
        <v>32</v>
      </c>
      <c r="R203" s="22" t="s">
        <v>32</v>
      </c>
      <c r="S203" s="22" t="s">
        <v>32</v>
      </c>
      <c r="T203" s="23" t="s">
        <v>1438</v>
      </c>
      <c r="U203" s="22" t="s">
        <v>32</v>
      </c>
      <c r="V203" s="22" t="s">
        <v>59</v>
      </c>
      <c r="W203" s="23" t="s">
        <v>32</v>
      </c>
      <c r="X203" s="22" t="s">
        <v>59</v>
      </c>
      <c r="Y203" s="22" t="s">
        <v>32</v>
      </c>
      <c r="Z203" s="22">
        <v>1.7</v>
      </c>
      <c r="AA203" s="22" t="s">
        <v>1439</v>
      </c>
      <c r="AB203" s="1" t="s">
        <v>1146</v>
      </c>
      <c r="AC203" s="1" t="s">
        <v>1463</v>
      </c>
      <c r="AD203" s="1" t="s">
        <v>1284</v>
      </c>
      <c r="AE203" s="1" t="s">
        <v>1464</v>
      </c>
      <c r="AF203" s="1" t="s">
        <v>1016</v>
      </c>
      <c r="AG203" s="1" t="s">
        <v>483</v>
      </c>
      <c r="AH203" s="1" t="s">
        <v>1465</v>
      </c>
      <c r="AI203" s="1" t="s">
        <v>524</v>
      </c>
      <c r="AJ203" s="1" t="s">
        <v>1445</v>
      </c>
      <c r="AK203" s="1" t="s">
        <v>245</v>
      </c>
      <c r="AL203" s="1">
        <v>-273</v>
      </c>
      <c r="AM203" s="1" t="s">
        <v>1466</v>
      </c>
      <c r="AN203" s="1" t="s">
        <v>1218</v>
      </c>
      <c r="AO203" s="1" t="s">
        <v>480</v>
      </c>
      <c r="AP203" s="1" t="s">
        <v>113</v>
      </c>
      <c r="AQ203" s="1" t="s">
        <v>137</v>
      </c>
      <c r="AR203" s="1" t="s">
        <v>113</v>
      </c>
      <c r="AS203" s="1" t="s">
        <v>78</v>
      </c>
      <c r="AT203" s="1" t="s">
        <v>57</v>
      </c>
      <c r="AU203" s="1"/>
    </row>
    <row r="204" spans="2:47" ht="18" customHeight="1" x14ac:dyDescent="0.2">
      <c r="B204" s="1" t="s">
        <v>1434</v>
      </c>
      <c r="C204" s="1" t="s">
        <v>1435</v>
      </c>
      <c r="D204" s="22" t="s">
        <v>718</v>
      </c>
      <c r="E204" s="24" t="s">
        <v>32</v>
      </c>
      <c r="F204" s="22" t="s">
        <v>1436</v>
      </c>
      <c r="G204" s="23" t="s">
        <v>32</v>
      </c>
      <c r="H204" s="23" t="s">
        <v>32</v>
      </c>
      <c r="I204" s="23" t="s">
        <v>32</v>
      </c>
      <c r="J204" s="23" t="s">
        <v>59</v>
      </c>
      <c r="K204" s="22" t="s">
        <v>59</v>
      </c>
      <c r="L204" s="22" t="s">
        <v>40</v>
      </c>
      <c r="M204" s="22" t="s">
        <v>32</v>
      </c>
      <c r="N204" s="22" t="s">
        <v>32</v>
      </c>
      <c r="O204" s="23" t="s">
        <v>1437</v>
      </c>
      <c r="P204" s="23" t="s">
        <v>59</v>
      </c>
      <c r="Q204" s="22" t="s">
        <v>32</v>
      </c>
      <c r="R204" s="22" t="s">
        <v>32</v>
      </c>
      <c r="S204" s="22" t="s">
        <v>32</v>
      </c>
      <c r="T204" s="23" t="s">
        <v>1438</v>
      </c>
      <c r="U204" s="22" t="s">
        <v>32</v>
      </c>
      <c r="V204" s="22" t="s">
        <v>59</v>
      </c>
      <c r="W204" s="23" t="s">
        <v>32</v>
      </c>
      <c r="X204" s="22" t="s">
        <v>59</v>
      </c>
      <c r="Y204" s="22" t="s">
        <v>32</v>
      </c>
      <c r="Z204" s="22">
        <v>1.7</v>
      </c>
      <c r="AA204" s="22" t="s">
        <v>205</v>
      </c>
      <c r="AB204" s="1" t="s">
        <v>1202</v>
      </c>
      <c r="AC204" s="1" t="s">
        <v>1467</v>
      </c>
      <c r="AD204" s="1" t="s">
        <v>1107</v>
      </c>
      <c r="AE204" s="1" t="s">
        <v>1468</v>
      </c>
      <c r="AF204" s="1" t="s">
        <v>1068</v>
      </c>
      <c r="AG204" s="1">
        <v>82</v>
      </c>
      <c r="AH204" s="1" t="s">
        <v>1469</v>
      </c>
      <c r="AI204" s="1" t="s">
        <v>524</v>
      </c>
      <c r="AJ204" s="1" t="s">
        <v>1445</v>
      </c>
      <c r="AK204" s="1" t="s">
        <v>245</v>
      </c>
      <c r="AL204" s="1">
        <v>-273</v>
      </c>
      <c r="AM204" s="1" t="s">
        <v>1466</v>
      </c>
      <c r="AN204" s="1" t="s">
        <v>1013</v>
      </c>
      <c r="AO204" s="1" t="s">
        <v>480</v>
      </c>
      <c r="AP204" s="1" t="s">
        <v>113</v>
      </c>
      <c r="AQ204" s="1" t="s">
        <v>137</v>
      </c>
      <c r="AR204" s="1" t="s">
        <v>113</v>
      </c>
      <c r="AS204" s="1" t="s">
        <v>78</v>
      </c>
      <c r="AT204" s="1" t="s">
        <v>57</v>
      </c>
      <c r="AU204" s="1"/>
    </row>
    <row r="205" spans="2:47" ht="18" customHeight="1" x14ac:dyDescent="0.2">
      <c r="B205" s="1" t="s">
        <v>1434</v>
      </c>
      <c r="C205" s="1" t="s">
        <v>1435</v>
      </c>
      <c r="D205" s="22" t="s">
        <v>1449</v>
      </c>
      <c r="E205" s="24" t="s">
        <v>32</v>
      </c>
      <c r="F205" s="22" t="s">
        <v>1436</v>
      </c>
      <c r="G205" s="23" t="s">
        <v>32</v>
      </c>
      <c r="H205" s="23" t="s">
        <v>32</v>
      </c>
      <c r="I205" s="23" t="s">
        <v>32</v>
      </c>
      <c r="J205" s="23" t="s">
        <v>59</v>
      </c>
      <c r="K205" s="22" t="s">
        <v>59</v>
      </c>
      <c r="L205" s="22" t="s">
        <v>40</v>
      </c>
      <c r="M205" s="22" t="s">
        <v>32</v>
      </c>
      <c r="N205" s="22" t="s">
        <v>32</v>
      </c>
      <c r="O205" s="23" t="s">
        <v>1437</v>
      </c>
      <c r="P205" s="23" t="s">
        <v>59</v>
      </c>
      <c r="Q205" s="22" t="s">
        <v>32</v>
      </c>
      <c r="R205" s="22" t="s">
        <v>32</v>
      </c>
      <c r="S205" s="22" t="s">
        <v>32</v>
      </c>
      <c r="T205" s="23" t="s">
        <v>1438</v>
      </c>
      <c r="U205" s="22" t="s">
        <v>32</v>
      </c>
      <c r="V205" s="22" t="s">
        <v>59</v>
      </c>
      <c r="W205" s="23" t="s">
        <v>32</v>
      </c>
      <c r="X205" s="22" t="s">
        <v>59</v>
      </c>
      <c r="Y205" s="22" t="s">
        <v>32</v>
      </c>
      <c r="Z205" s="22">
        <v>1.7</v>
      </c>
      <c r="AA205" s="22" t="s">
        <v>205</v>
      </c>
      <c r="AB205" s="1" t="s">
        <v>1202</v>
      </c>
      <c r="AC205" s="1" t="s">
        <v>434</v>
      </c>
      <c r="AD205" s="1" t="s">
        <v>142</v>
      </c>
      <c r="AE205" s="1" t="s">
        <v>1040</v>
      </c>
      <c r="AF205" s="1" t="s">
        <v>499</v>
      </c>
      <c r="AG205" s="1">
        <v>70</v>
      </c>
      <c r="AH205" s="1" t="s">
        <v>1470</v>
      </c>
      <c r="AI205" s="1" t="s">
        <v>524</v>
      </c>
      <c r="AJ205" s="1" t="s">
        <v>1445</v>
      </c>
      <c r="AK205" s="1" t="s">
        <v>245</v>
      </c>
      <c r="AL205" s="1">
        <v>-273</v>
      </c>
      <c r="AM205" s="1" t="s">
        <v>1466</v>
      </c>
      <c r="AN205" s="1" t="s">
        <v>1013</v>
      </c>
      <c r="AO205" s="1" t="s">
        <v>480</v>
      </c>
      <c r="AP205" s="1" t="s">
        <v>113</v>
      </c>
      <c r="AQ205" s="1" t="s">
        <v>137</v>
      </c>
      <c r="AR205" s="1" t="s">
        <v>113</v>
      </c>
      <c r="AS205" s="1" t="s">
        <v>78</v>
      </c>
      <c r="AT205" s="1" t="s">
        <v>57</v>
      </c>
      <c r="AU205" s="1"/>
    </row>
    <row r="206" spans="2:47" ht="18" customHeight="1" x14ac:dyDescent="0.2">
      <c r="B206" s="1" t="s">
        <v>1434</v>
      </c>
      <c r="C206" s="1" t="s">
        <v>1435</v>
      </c>
      <c r="D206" s="22" t="s">
        <v>1450</v>
      </c>
      <c r="E206" s="24" t="s">
        <v>32</v>
      </c>
      <c r="F206" s="22" t="s">
        <v>1436</v>
      </c>
      <c r="G206" s="23" t="s">
        <v>32</v>
      </c>
      <c r="H206" s="23" t="s">
        <v>32</v>
      </c>
      <c r="I206" s="23" t="s">
        <v>32</v>
      </c>
      <c r="J206" s="23" t="s">
        <v>59</v>
      </c>
      <c r="K206" s="22" t="s">
        <v>59</v>
      </c>
      <c r="L206" s="22" t="s">
        <v>40</v>
      </c>
      <c r="M206" s="22" t="s">
        <v>32</v>
      </c>
      <c r="N206" s="22" t="s">
        <v>32</v>
      </c>
      <c r="O206" s="23" t="s">
        <v>1437</v>
      </c>
      <c r="P206" s="23" t="s">
        <v>59</v>
      </c>
      <c r="Q206" s="22" t="s">
        <v>32</v>
      </c>
      <c r="R206" s="22" t="s">
        <v>32</v>
      </c>
      <c r="S206" s="22" t="s">
        <v>32</v>
      </c>
      <c r="T206" s="23" t="s">
        <v>1438</v>
      </c>
      <c r="U206" s="22" t="s">
        <v>32</v>
      </c>
      <c r="V206" s="22" t="s">
        <v>59</v>
      </c>
      <c r="W206" s="23" t="s">
        <v>32</v>
      </c>
      <c r="X206" s="22" t="s">
        <v>59</v>
      </c>
      <c r="Y206" s="22" t="s">
        <v>32</v>
      </c>
      <c r="Z206" s="22">
        <v>1.7</v>
      </c>
      <c r="AA206" s="22" t="s">
        <v>205</v>
      </c>
      <c r="AB206" s="1" t="s">
        <v>1202</v>
      </c>
      <c r="AC206" s="1" t="s">
        <v>1471</v>
      </c>
      <c r="AD206" s="1" t="s">
        <v>296</v>
      </c>
      <c r="AE206" s="1" t="s">
        <v>1015</v>
      </c>
      <c r="AF206" s="1" t="s">
        <v>1472</v>
      </c>
      <c r="AG206" s="1">
        <v>95</v>
      </c>
      <c r="AH206" s="1" t="s">
        <v>1473</v>
      </c>
      <c r="AI206" s="1" t="s">
        <v>524</v>
      </c>
      <c r="AJ206" s="1" t="s">
        <v>1445</v>
      </c>
      <c r="AK206" s="1" t="s">
        <v>245</v>
      </c>
      <c r="AL206" s="1">
        <v>-273</v>
      </c>
      <c r="AM206" s="1" t="s">
        <v>1466</v>
      </c>
      <c r="AN206" s="1" t="s">
        <v>1013</v>
      </c>
      <c r="AO206" s="1" t="s">
        <v>480</v>
      </c>
      <c r="AP206" s="1" t="s">
        <v>113</v>
      </c>
      <c r="AQ206" s="1" t="s">
        <v>137</v>
      </c>
      <c r="AR206" s="1" t="s">
        <v>113</v>
      </c>
      <c r="AS206" s="1" t="s">
        <v>78</v>
      </c>
      <c r="AT206" s="1" t="s">
        <v>57</v>
      </c>
      <c r="AU206" s="1"/>
    </row>
    <row r="207" spans="2:47" ht="18" customHeight="1" x14ac:dyDescent="0.2">
      <c r="C207" s="1" t="s">
        <v>1474</v>
      </c>
      <c r="D207" s="22" t="s">
        <v>294</v>
      </c>
      <c r="E207" s="24" t="s">
        <v>32</v>
      </c>
      <c r="F207" s="22" t="s">
        <v>1475</v>
      </c>
      <c r="G207" s="23" t="s">
        <v>32</v>
      </c>
      <c r="H207" s="23" t="s">
        <v>32</v>
      </c>
      <c r="I207" s="23" t="s">
        <v>32</v>
      </c>
      <c r="J207" s="23" t="s">
        <v>59</v>
      </c>
      <c r="K207" s="22" t="s">
        <v>1263</v>
      </c>
      <c r="L207" s="22" t="s">
        <v>98</v>
      </c>
      <c r="M207" s="22" t="s">
        <v>32</v>
      </c>
      <c r="N207" s="22" t="s">
        <v>32</v>
      </c>
      <c r="O207" s="23" t="s">
        <v>1476</v>
      </c>
      <c r="P207" s="23" t="s">
        <v>1200</v>
      </c>
      <c r="Q207" s="22" t="s">
        <v>32</v>
      </c>
      <c r="R207" s="22" t="s">
        <v>32</v>
      </c>
      <c r="S207" s="22" t="s">
        <v>32</v>
      </c>
      <c r="T207" s="23" t="s">
        <v>1477</v>
      </c>
      <c r="U207" s="22" t="s">
        <v>32</v>
      </c>
      <c r="V207" s="22" t="s">
        <v>32</v>
      </c>
      <c r="W207" s="23" t="s">
        <v>32</v>
      </c>
      <c r="X207" s="22" t="s">
        <v>42</v>
      </c>
      <c r="Y207" s="22" t="s">
        <v>32</v>
      </c>
      <c r="Z207" s="22">
        <v>4.4000000000000004</v>
      </c>
      <c r="AA207" s="22" t="s">
        <v>1478</v>
      </c>
      <c r="AB207" s="1" t="s">
        <v>1166</v>
      </c>
      <c r="AC207" s="1" t="s">
        <v>1479</v>
      </c>
      <c r="AD207" s="1" t="s">
        <v>1480</v>
      </c>
      <c r="AE207" s="1" t="s">
        <v>1157</v>
      </c>
      <c r="AF207" s="1" t="s">
        <v>1481</v>
      </c>
      <c r="AG207" s="1" t="s">
        <v>562</v>
      </c>
      <c r="AH207" s="1" t="s">
        <v>1482</v>
      </c>
      <c r="AI207" s="1" t="s">
        <v>524</v>
      </c>
      <c r="AJ207" s="1" t="s">
        <v>1483</v>
      </c>
      <c r="AK207" s="1" t="s">
        <v>245</v>
      </c>
      <c r="AL207" s="1">
        <v>-273</v>
      </c>
      <c r="AM207" s="1" t="s">
        <v>1484</v>
      </c>
      <c r="AN207" s="1" t="s">
        <v>1485</v>
      </c>
      <c r="AO207" s="1" t="s">
        <v>1486</v>
      </c>
      <c r="AP207" s="1" t="s">
        <v>113</v>
      </c>
      <c r="AQ207" s="1" t="s">
        <v>113</v>
      </c>
      <c r="AR207" s="1" t="s">
        <v>113</v>
      </c>
      <c r="AS207" s="1" t="s">
        <v>57</v>
      </c>
      <c r="AT207" s="1" t="s">
        <v>57</v>
      </c>
      <c r="AU207" s="1"/>
    </row>
    <row r="208" spans="2:47" ht="18" customHeight="1" x14ac:dyDescent="0.2">
      <c r="C208" s="1" t="s">
        <v>1487</v>
      </c>
      <c r="D208" s="22" t="s">
        <v>294</v>
      </c>
      <c r="E208" s="22" t="s">
        <v>32</v>
      </c>
      <c r="F208" s="22" t="s">
        <v>1488</v>
      </c>
      <c r="G208" s="23" t="s">
        <v>32</v>
      </c>
      <c r="H208" s="23" t="s">
        <v>32</v>
      </c>
      <c r="I208" s="23" t="s">
        <v>32</v>
      </c>
      <c r="J208" s="23" t="s">
        <v>59</v>
      </c>
      <c r="K208" s="22" t="s">
        <v>1263</v>
      </c>
      <c r="L208" s="22" t="s">
        <v>98</v>
      </c>
      <c r="M208" s="22" t="s">
        <v>32</v>
      </c>
      <c r="N208" s="22" t="s">
        <v>32</v>
      </c>
      <c r="O208" s="23" t="s">
        <v>554</v>
      </c>
      <c r="P208" s="23" t="s">
        <v>64</v>
      </c>
      <c r="Q208" s="22" t="s">
        <v>32</v>
      </c>
      <c r="R208" s="22" t="s">
        <v>32</v>
      </c>
      <c r="S208" s="22" t="s">
        <v>32</v>
      </c>
      <c r="T208" s="23" t="s">
        <v>1489</v>
      </c>
      <c r="U208" s="22" t="s">
        <v>32</v>
      </c>
      <c r="V208" s="22" t="s">
        <v>32</v>
      </c>
      <c r="W208" s="23" t="s">
        <v>32</v>
      </c>
      <c r="X208" s="22" t="s">
        <v>42</v>
      </c>
      <c r="Y208" s="22" t="s">
        <v>32</v>
      </c>
      <c r="Z208" s="22">
        <v>4</v>
      </c>
      <c r="AA208" s="22" t="s">
        <v>1490</v>
      </c>
      <c r="AB208" s="1" t="s">
        <v>1166</v>
      </c>
      <c r="AC208" s="1" t="s">
        <v>1491</v>
      </c>
      <c r="AD208" s="1" t="s">
        <v>1492</v>
      </c>
      <c r="AE208" s="1" t="s">
        <v>1493</v>
      </c>
      <c r="AF208" s="1" t="s">
        <v>1481</v>
      </c>
      <c r="AG208" s="1" t="s">
        <v>562</v>
      </c>
      <c r="AH208" s="1" t="s">
        <v>1494</v>
      </c>
      <c r="AI208" s="1" t="s">
        <v>524</v>
      </c>
      <c r="AJ208" s="1" t="s">
        <v>1495</v>
      </c>
      <c r="AK208" s="1" t="s">
        <v>245</v>
      </c>
      <c r="AL208" s="1">
        <v>-273</v>
      </c>
      <c r="AM208" s="1" t="s">
        <v>1496</v>
      </c>
      <c r="AN208" s="1" t="s">
        <v>1497</v>
      </c>
      <c r="AO208" s="1" t="s">
        <v>1486</v>
      </c>
      <c r="AP208" s="1" t="s">
        <v>113</v>
      </c>
      <c r="AQ208" s="1" t="s">
        <v>113</v>
      </c>
      <c r="AR208" s="1" t="s">
        <v>113</v>
      </c>
      <c r="AS208" s="1" t="s">
        <v>57</v>
      </c>
      <c r="AT208" s="1" t="s">
        <v>57</v>
      </c>
      <c r="AU208" s="1"/>
    </row>
    <row r="209" spans="2:47" ht="18" customHeight="1" x14ac:dyDescent="0.2">
      <c r="B209" s="14" t="s">
        <v>1498</v>
      </c>
      <c r="C209" s="1" t="s">
        <v>1499</v>
      </c>
      <c r="D209" s="22" t="s">
        <v>1143</v>
      </c>
      <c r="E209" s="22" t="s">
        <v>32</v>
      </c>
      <c r="F209" s="22" t="s">
        <v>1500</v>
      </c>
      <c r="G209" s="23" t="s">
        <v>32</v>
      </c>
      <c r="H209" s="23" t="s">
        <v>32</v>
      </c>
      <c r="I209" s="23" t="s">
        <v>32</v>
      </c>
      <c r="J209" s="23" t="s">
        <v>42</v>
      </c>
      <c r="K209" s="22" t="s">
        <v>59</v>
      </c>
      <c r="L209" s="22" t="s">
        <v>98</v>
      </c>
      <c r="M209" s="22" t="s">
        <v>32</v>
      </c>
      <c r="N209" s="22" t="s">
        <v>32</v>
      </c>
      <c r="O209" s="23" t="s">
        <v>1501</v>
      </c>
      <c r="P209" s="23" t="s">
        <v>64</v>
      </c>
      <c r="Q209" s="22" t="s">
        <v>32</v>
      </c>
      <c r="R209" s="22" t="s">
        <v>32</v>
      </c>
      <c r="S209" s="22" t="s">
        <v>32</v>
      </c>
      <c r="T209" s="23" t="s">
        <v>151</v>
      </c>
      <c r="U209" s="22" t="s">
        <v>32</v>
      </c>
      <c r="V209" s="22" t="s">
        <v>59</v>
      </c>
      <c r="W209" s="23" t="s">
        <v>32</v>
      </c>
      <c r="X209" s="22" t="s">
        <v>167</v>
      </c>
      <c r="Y209" s="22" t="s">
        <v>32</v>
      </c>
      <c r="Z209" s="22">
        <v>3.75</v>
      </c>
      <c r="AA209" s="22" t="s">
        <v>386</v>
      </c>
      <c r="AB209" s="1" t="s">
        <v>1050</v>
      </c>
      <c r="AC209" s="1" t="s">
        <v>1451</v>
      </c>
      <c r="AD209" s="1" t="s">
        <v>1257</v>
      </c>
      <c r="AE209" s="1" t="s">
        <v>1147</v>
      </c>
      <c r="AF209" s="1" t="s">
        <v>499</v>
      </c>
      <c r="AG209" s="1" t="s">
        <v>1052</v>
      </c>
      <c r="AH209" s="1" t="s">
        <v>1502</v>
      </c>
      <c r="AI209" s="1" t="s">
        <v>524</v>
      </c>
      <c r="AJ209" s="1" t="s">
        <v>1495</v>
      </c>
      <c r="AK209" s="1" t="s">
        <v>245</v>
      </c>
      <c r="AL209" s="1">
        <v>-273</v>
      </c>
      <c r="AM209" s="1" t="s">
        <v>1503</v>
      </c>
      <c r="AN209" s="1" t="s">
        <v>1013</v>
      </c>
      <c r="AO209" s="1" t="s">
        <v>620</v>
      </c>
      <c r="AP209" s="1" t="s">
        <v>113</v>
      </c>
      <c r="AQ209" s="1" t="s">
        <v>113</v>
      </c>
      <c r="AR209" s="1" t="s">
        <v>113</v>
      </c>
      <c r="AS209" s="1" t="s">
        <v>78</v>
      </c>
      <c r="AT209" s="1" t="s">
        <v>57</v>
      </c>
      <c r="AU209" s="1"/>
    </row>
    <row r="210" spans="2:47" ht="18" customHeight="1" x14ac:dyDescent="0.2">
      <c r="B210" s="14" t="s">
        <v>1504</v>
      </c>
      <c r="C210" s="1" t="s">
        <v>1505</v>
      </c>
      <c r="D210" s="22" t="s">
        <v>294</v>
      </c>
      <c r="E210" s="22" t="s">
        <v>32</v>
      </c>
      <c r="F210" s="22" t="s">
        <v>1506</v>
      </c>
      <c r="G210" s="23" t="s">
        <v>32</v>
      </c>
      <c r="H210" s="23" t="s">
        <v>32</v>
      </c>
      <c r="I210" s="23" t="s">
        <v>32</v>
      </c>
      <c r="J210" s="23" t="s">
        <v>62</v>
      </c>
      <c r="K210" s="22" t="s">
        <v>40</v>
      </c>
      <c r="L210" s="22" t="s">
        <v>97</v>
      </c>
      <c r="M210" s="22" t="s">
        <v>32</v>
      </c>
      <c r="N210" s="22" t="s">
        <v>32</v>
      </c>
      <c r="O210" s="23" t="s">
        <v>1507</v>
      </c>
      <c r="P210" s="23" t="s">
        <v>167</v>
      </c>
      <c r="Q210" s="22" t="s">
        <v>32</v>
      </c>
      <c r="R210" s="22" t="s">
        <v>32</v>
      </c>
      <c r="S210" s="22" t="s">
        <v>32</v>
      </c>
      <c r="T210" s="23" t="s">
        <v>1501</v>
      </c>
      <c r="U210" s="22" t="s">
        <v>32</v>
      </c>
      <c r="V210" s="22" t="s">
        <v>226</v>
      </c>
      <c r="W210" s="23" t="s">
        <v>32</v>
      </c>
      <c r="X210" s="22" t="s">
        <v>42</v>
      </c>
      <c r="Y210" s="22" t="s">
        <v>32</v>
      </c>
      <c r="Z210" s="22">
        <v>2.5499999999999998</v>
      </c>
      <c r="AA210" s="22" t="s">
        <v>1201</v>
      </c>
      <c r="AB210" s="1" t="s">
        <v>1508</v>
      </c>
      <c r="AC210" s="1" t="s">
        <v>1156</v>
      </c>
      <c r="AD210" s="1" t="s">
        <v>1509</v>
      </c>
      <c r="AE210" s="1" t="s">
        <v>1138</v>
      </c>
      <c r="AF210" s="1" t="s">
        <v>1510</v>
      </c>
      <c r="AG210" s="1">
        <v>100</v>
      </c>
      <c r="AH210" s="1" t="s">
        <v>1511</v>
      </c>
      <c r="AI210" s="1" t="s">
        <v>524</v>
      </c>
      <c r="AJ210" s="1" t="s">
        <v>1512</v>
      </c>
      <c r="AK210" s="1" t="s">
        <v>245</v>
      </c>
      <c r="AL210" s="1">
        <v>-273</v>
      </c>
      <c r="AM210" s="1" t="s">
        <v>1513</v>
      </c>
      <c r="AN210" s="1" t="s">
        <v>180</v>
      </c>
      <c r="AO210" s="1" t="s">
        <v>582</v>
      </c>
      <c r="AP210" s="1" t="s">
        <v>113</v>
      </c>
      <c r="AQ210" s="1" t="s">
        <v>113</v>
      </c>
      <c r="AR210" s="1" t="s">
        <v>113</v>
      </c>
      <c r="AS210" s="1" t="s">
        <v>78</v>
      </c>
      <c r="AT210" s="1" t="s">
        <v>57</v>
      </c>
      <c r="AU210" s="1"/>
    </row>
    <row r="211" spans="2:47" ht="18" customHeight="1" x14ac:dyDescent="0.2">
      <c r="C211" s="1" t="s">
        <v>1514</v>
      </c>
      <c r="D211" s="22" t="s">
        <v>294</v>
      </c>
      <c r="E211" s="22" t="s">
        <v>32</v>
      </c>
      <c r="F211" s="22" t="s">
        <v>1515</v>
      </c>
      <c r="G211" s="23" t="s">
        <v>32</v>
      </c>
      <c r="H211" s="23" t="s">
        <v>323</v>
      </c>
      <c r="I211" s="23" t="s">
        <v>32</v>
      </c>
      <c r="J211" s="23" t="s">
        <v>1517</v>
      </c>
      <c r="K211" s="22" t="s">
        <v>1263</v>
      </c>
      <c r="L211" s="22" t="s">
        <v>550</v>
      </c>
      <c r="M211" s="22" t="s">
        <v>32</v>
      </c>
      <c r="N211" s="22" t="s">
        <v>32</v>
      </c>
      <c r="O211" s="23" t="s">
        <v>1183</v>
      </c>
      <c r="P211" s="23" t="s">
        <v>226</v>
      </c>
      <c r="Q211" s="22" t="s">
        <v>32</v>
      </c>
      <c r="R211" s="22" t="s">
        <v>323</v>
      </c>
      <c r="S211" s="22" t="s">
        <v>32</v>
      </c>
      <c r="T211" s="23" t="s">
        <v>596</v>
      </c>
      <c r="U211" s="22" t="s">
        <v>32</v>
      </c>
      <c r="V211" s="22" t="s">
        <v>226</v>
      </c>
      <c r="W211" s="23" t="s">
        <v>32</v>
      </c>
      <c r="X211" s="22" t="s">
        <v>42</v>
      </c>
      <c r="Y211" s="22" t="s">
        <v>32</v>
      </c>
      <c r="Z211" s="22">
        <v>2.5499999999999998</v>
      </c>
      <c r="AA211" s="22" t="s">
        <v>1201</v>
      </c>
      <c r="AB211" s="1" t="s">
        <v>1202</v>
      </c>
      <c r="AC211" s="1" t="s">
        <v>1136</v>
      </c>
      <c r="AD211" s="1" t="s">
        <v>1275</v>
      </c>
      <c r="AE211" s="1" t="s">
        <v>1138</v>
      </c>
      <c r="AF211" s="1" t="s">
        <v>1518</v>
      </c>
      <c r="AG211" s="1" t="s">
        <v>499</v>
      </c>
      <c r="AH211" s="1" t="s">
        <v>1277</v>
      </c>
      <c r="AI211" s="1" t="s">
        <v>524</v>
      </c>
      <c r="AJ211" s="1" t="s">
        <v>1519</v>
      </c>
      <c r="AK211" s="1" t="s">
        <v>245</v>
      </c>
      <c r="AL211" s="1">
        <v>-273</v>
      </c>
      <c r="AM211" s="1" t="s">
        <v>1496</v>
      </c>
      <c r="AN211" s="1" t="s">
        <v>1520</v>
      </c>
      <c r="AO211" s="1" t="s">
        <v>1521</v>
      </c>
      <c r="AP211" s="1" t="s">
        <v>113</v>
      </c>
      <c r="AQ211" s="1" t="s">
        <v>113</v>
      </c>
      <c r="AR211" s="1" t="s">
        <v>113</v>
      </c>
      <c r="AS211" s="1" t="s">
        <v>57</v>
      </c>
      <c r="AT211" s="1" t="s">
        <v>57</v>
      </c>
      <c r="AU211" s="1"/>
    </row>
    <row r="212" spans="2:47" ht="18" customHeight="1" x14ac:dyDescent="0.2">
      <c r="C212" s="1" t="s">
        <v>1514</v>
      </c>
      <c r="D212" s="22" t="s">
        <v>1522</v>
      </c>
      <c r="E212" s="22" t="s">
        <v>32</v>
      </c>
      <c r="F212" s="22" t="s">
        <v>1515</v>
      </c>
      <c r="G212" s="23" t="s">
        <v>32</v>
      </c>
      <c r="H212" s="23" t="s">
        <v>323</v>
      </c>
      <c r="I212" s="23" t="s">
        <v>32</v>
      </c>
      <c r="J212" s="23" t="s">
        <v>1517</v>
      </c>
      <c r="K212" s="22" t="s">
        <v>1263</v>
      </c>
      <c r="L212" s="22" t="s">
        <v>550</v>
      </c>
      <c r="M212" s="22" t="s">
        <v>32</v>
      </c>
      <c r="N212" s="22" t="s">
        <v>32</v>
      </c>
      <c r="O212" s="23" t="s">
        <v>1183</v>
      </c>
      <c r="P212" s="23" t="s">
        <v>226</v>
      </c>
      <c r="Q212" s="22" t="s">
        <v>32</v>
      </c>
      <c r="R212" s="22" t="s">
        <v>323</v>
      </c>
      <c r="S212" s="22" t="s">
        <v>32</v>
      </c>
      <c r="T212" s="23" t="s">
        <v>596</v>
      </c>
      <c r="U212" s="22" t="s">
        <v>32</v>
      </c>
      <c r="V212" s="22" t="s">
        <v>226</v>
      </c>
      <c r="W212" s="23" t="s">
        <v>32</v>
      </c>
      <c r="X212" s="22" t="s">
        <v>42</v>
      </c>
      <c r="Y212" s="22" t="s">
        <v>32</v>
      </c>
      <c r="Z212" s="22">
        <v>2.5499999999999998</v>
      </c>
      <c r="AA212" s="22" t="s">
        <v>1201</v>
      </c>
      <c r="AB212" s="1" t="s">
        <v>1202</v>
      </c>
      <c r="AC212" s="1" t="s">
        <v>1491</v>
      </c>
      <c r="AD212" s="1" t="s">
        <v>1523</v>
      </c>
      <c r="AE212" s="1" t="s">
        <v>1524</v>
      </c>
      <c r="AF212" s="1" t="s">
        <v>1001</v>
      </c>
      <c r="AG212" s="1" t="s">
        <v>1525</v>
      </c>
      <c r="AH212" s="1" t="s">
        <v>1219</v>
      </c>
      <c r="AI212" s="1" t="s">
        <v>524</v>
      </c>
      <c r="AJ212" s="1" t="s">
        <v>1519</v>
      </c>
      <c r="AK212" s="1" t="s">
        <v>245</v>
      </c>
      <c r="AL212" s="1">
        <v>-273</v>
      </c>
      <c r="AM212" s="1" t="s">
        <v>1496</v>
      </c>
      <c r="AN212" s="1" t="s">
        <v>1520</v>
      </c>
      <c r="AO212" s="1" t="s">
        <v>1521</v>
      </c>
      <c r="AP212" s="1" t="s">
        <v>78</v>
      </c>
      <c r="AQ212" s="1" t="s">
        <v>78</v>
      </c>
      <c r="AR212" s="1" t="s">
        <v>78</v>
      </c>
      <c r="AS212" s="1" t="s">
        <v>57</v>
      </c>
      <c r="AT212" s="1" t="s">
        <v>57</v>
      </c>
      <c r="AU212" s="1"/>
    </row>
    <row r="213" spans="2:47" ht="18" customHeight="1" x14ac:dyDescent="0.2">
      <c r="B213" s="14" t="s">
        <v>1526</v>
      </c>
      <c r="C213" s="1" t="s">
        <v>1527</v>
      </c>
      <c r="D213" s="22" t="s">
        <v>1528</v>
      </c>
      <c r="E213" s="22" t="s">
        <v>32</v>
      </c>
      <c r="F213" s="22" t="s">
        <v>1529</v>
      </c>
      <c r="G213" s="23" t="s">
        <v>32</v>
      </c>
      <c r="H213" s="23" t="s">
        <v>32</v>
      </c>
      <c r="I213" s="23" t="s">
        <v>32</v>
      </c>
      <c r="J213" s="23" t="s">
        <v>39</v>
      </c>
      <c r="K213" s="22" t="s">
        <v>1530</v>
      </c>
      <c r="L213" s="22" t="s">
        <v>226</v>
      </c>
      <c r="M213" s="22" t="s">
        <v>32</v>
      </c>
      <c r="N213" s="22" t="s">
        <v>32</v>
      </c>
      <c r="O213" s="23" t="s">
        <v>223</v>
      </c>
      <c r="P213" s="23" t="s">
        <v>59</v>
      </c>
      <c r="Q213" s="22" t="s">
        <v>39</v>
      </c>
      <c r="R213" s="22" t="s">
        <v>32</v>
      </c>
      <c r="S213" s="22" t="s">
        <v>32</v>
      </c>
      <c r="T213" s="23" t="s">
        <v>226</v>
      </c>
      <c r="U213" s="22" t="s">
        <v>32</v>
      </c>
      <c r="V213" s="22" t="s">
        <v>689</v>
      </c>
      <c r="W213" s="23" t="s">
        <v>32</v>
      </c>
      <c r="X213" s="22" t="s">
        <v>1531</v>
      </c>
      <c r="Y213" s="22" t="s">
        <v>1532</v>
      </c>
      <c r="Z213" s="22">
        <v>2.9</v>
      </c>
      <c r="AA213" s="22" t="s">
        <v>815</v>
      </c>
      <c r="AB213" s="1" t="s">
        <v>362</v>
      </c>
      <c r="AC213" s="1" t="s">
        <v>1533</v>
      </c>
      <c r="AD213" s="1" t="s">
        <v>1534</v>
      </c>
      <c r="AE213" s="1" t="s">
        <v>1535</v>
      </c>
      <c r="AF213" s="1" t="s">
        <v>1536</v>
      </c>
      <c r="AG213" s="1" t="s">
        <v>32</v>
      </c>
      <c r="AH213" s="1" t="s">
        <v>1537</v>
      </c>
      <c r="AI213" s="1" t="s">
        <v>1079</v>
      </c>
      <c r="AJ213" s="1" t="s">
        <v>1538</v>
      </c>
      <c r="AK213" s="1" t="s">
        <v>426</v>
      </c>
      <c r="AL213" s="1">
        <v>-273</v>
      </c>
      <c r="AM213" s="1" t="s">
        <v>1539</v>
      </c>
      <c r="AN213" s="1" t="s">
        <v>892</v>
      </c>
      <c r="AO213" s="1" t="s">
        <v>497</v>
      </c>
      <c r="AP213" s="1" t="s">
        <v>78</v>
      </c>
      <c r="AQ213" s="1" t="s">
        <v>78</v>
      </c>
      <c r="AR213" s="1" t="s">
        <v>113</v>
      </c>
      <c r="AS213" s="1" t="s">
        <v>78</v>
      </c>
      <c r="AT213" s="1" t="s">
        <v>57</v>
      </c>
      <c r="AU213" s="1"/>
    </row>
    <row r="214" spans="2:47" ht="18" customHeight="1" x14ac:dyDescent="0.2">
      <c r="B214" s="14" t="s">
        <v>1526</v>
      </c>
      <c r="C214" s="1" t="s">
        <v>1527</v>
      </c>
      <c r="D214" s="22" t="s">
        <v>1556</v>
      </c>
      <c r="E214" s="22" t="s">
        <v>32</v>
      </c>
      <c r="F214" s="22" t="s">
        <v>1529</v>
      </c>
      <c r="G214" s="23" t="s">
        <v>32</v>
      </c>
      <c r="H214" s="23" t="s">
        <v>32</v>
      </c>
      <c r="I214" s="23" t="s">
        <v>32</v>
      </c>
      <c r="J214" s="23" t="s">
        <v>39</v>
      </c>
      <c r="K214" s="22" t="s">
        <v>1530</v>
      </c>
      <c r="L214" s="22" t="s">
        <v>226</v>
      </c>
      <c r="M214" s="22" t="s">
        <v>32</v>
      </c>
      <c r="N214" s="22" t="s">
        <v>32</v>
      </c>
      <c r="O214" s="23" t="s">
        <v>223</v>
      </c>
      <c r="P214" s="23" t="s">
        <v>59</v>
      </c>
      <c r="Q214" s="22" t="s">
        <v>39</v>
      </c>
      <c r="R214" s="22" t="s">
        <v>32</v>
      </c>
      <c r="S214" s="22" t="s">
        <v>32</v>
      </c>
      <c r="T214" s="23" t="s">
        <v>226</v>
      </c>
      <c r="U214" s="22" t="s">
        <v>32</v>
      </c>
      <c r="V214" s="22" t="s">
        <v>689</v>
      </c>
      <c r="W214" s="23" t="s">
        <v>32</v>
      </c>
      <c r="X214" s="22" t="s">
        <v>1531</v>
      </c>
      <c r="Y214" s="22" t="s">
        <v>1532</v>
      </c>
      <c r="Z214" s="22">
        <v>2.9</v>
      </c>
      <c r="AA214" s="22" t="s">
        <v>815</v>
      </c>
      <c r="AB214" s="1" t="s">
        <v>362</v>
      </c>
      <c r="AC214" s="1" t="s">
        <v>1540</v>
      </c>
      <c r="AD214" s="1" t="s">
        <v>1541</v>
      </c>
      <c r="AE214" s="1" t="s">
        <v>1542</v>
      </c>
      <c r="AF214" s="1" t="s">
        <v>1536</v>
      </c>
      <c r="AG214" s="1" t="s">
        <v>32</v>
      </c>
      <c r="AH214" s="1" t="s">
        <v>1543</v>
      </c>
      <c r="AI214" s="1" t="s">
        <v>1079</v>
      </c>
      <c r="AJ214" s="1" t="s">
        <v>1538</v>
      </c>
      <c r="AK214" s="1" t="s">
        <v>426</v>
      </c>
      <c r="AL214" s="1">
        <v>-273</v>
      </c>
      <c r="AM214" s="1" t="s">
        <v>1539</v>
      </c>
      <c r="AN214" s="1" t="s">
        <v>892</v>
      </c>
      <c r="AO214" s="1" t="s">
        <v>497</v>
      </c>
      <c r="AP214" s="1" t="s">
        <v>78</v>
      </c>
      <c r="AQ214" s="1" t="s">
        <v>78</v>
      </c>
      <c r="AR214" s="1" t="s">
        <v>113</v>
      </c>
      <c r="AS214" s="1" t="s">
        <v>78</v>
      </c>
      <c r="AT214" s="1" t="s">
        <v>57</v>
      </c>
      <c r="AU214" s="1"/>
    </row>
    <row r="215" spans="2:47" ht="18" customHeight="1" x14ac:dyDescent="0.2">
      <c r="B215" s="14" t="s">
        <v>1544</v>
      </c>
      <c r="C215" s="1" t="s">
        <v>1545</v>
      </c>
      <c r="D215" s="22" t="s">
        <v>284</v>
      </c>
      <c r="E215" s="22" t="s">
        <v>32</v>
      </c>
      <c r="F215" s="22" t="s">
        <v>1546</v>
      </c>
      <c r="G215" s="23" t="s">
        <v>32</v>
      </c>
      <c r="H215" s="23" t="s">
        <v>32</v>
      </c>
      <c r="I215" s="23" t="s">
        <v>32</v>
      </c>
      <c r="J215" s="23" t="s">
        <v>1547</v>
      </c>
      <c r="K215" s="22" t="s">
        <v>167</v>
      </c>
      <c r="L215" s="22" t="s">
        <v>468</v>
      </c>
      <c r="M215" s="22" t="s">
        <v>32</v>
      </c>
      <c r="N215" s="22" t="s">
        <v>32</v>
      </c>
      <c r="O215" s="23" t="s">
        <v>1548</v>
      </c>
      <c r="P215" s="23" t="s">
        <v>140</v>
      </c>
      <c r="Q215" s="22" t="s">
        <v>32</v>
      </c>
      <c r="R215" s="22" t="s">
        <v>32</v>
      </c>
      <c r="S215" s="22" t="s">
        <v>32</v>
      </c>
      <c r="T215" s="23" t="s">
        <v>40</v>
      </c>
      <c r="U215" s="22" t="s">
        <v>32</v>
      </c>
      <c r="V215" s="22" t="s">
        <v>39</v>
      </c>
      <c r="W215" s="23" t="s">
        <v>32</v>
      </c>
      <c r="X215" s="22" t="s">
        <v>83</v>
      </c>
      <c r="Y215" s="22" t="s">
        <v>1549</v>
      </c>
      <c r="Z215" s="22">
        <v>2.6</v>
      </c>
      <c r="AA215" s="22" t="s">
        <v>1550</v>
      </c>
      <c r="AB215" s="1" t="s">
        <v>1050</v>
      </c>
      <c r="AC215" s="1" t="s">
        <v>1551</v>
      </c>
      <c r="AD215" s="1" t="s">
        <v>1552</v>
      </c>
      <c r="AE215" s="1" t="s">
        <v>834</v>
      </c>
      <c r="AF215" s="1" t="s">
        <v>562</v>
      </c>
      <c r="AG215" s="14">
        <v>100</v>
      </c>
      <c r="AH215" s="1" t="s">
        <v>1553</v>
      </c>
      <c r="AI215" s="1" t="s">
        <v>837</v>
      </c>
      <c r="AJ215" s="1" t="s">
        <v>1554</v>
      </c>
      <c r="AK215" s="1" t="s">
        <v>426</v>
      </c>
      <c r="AL215" s="1">
        <v>-273</v>
      </c>
      <c r="AM215" s="1" t="s">
        <v>1555</v>
      </c>
      <c r="AN215" s="1" t="s">
        <v>854</v>
      </c>
      <c r="AO215" s="1" t="s">
        <v>855</v>
      </c>
      <c r="AP215" s="1" t="s">
        <v>78</v>
      </c>
      <c r="AQ215" s="1" t="s">
        <v>78</v>
      </c>
      <c r="AR215" s="1" t="s">
        <v>113</v>
      </c>
      <c r="AS215" s="1" t="s">
        <v>78</v>
      </c>
      <c r="AT215" s="1" t="s">
        <v>57</v>
      </c>
      <c r="AU215" s="1"/>
    </row>
    <row r="216" spans="2:47" ht="18" customHeight="1" x14ac:dyDescent="0.2">
      <c r="B216" s="14" t="s">
        <v>1544</v>
      </c>
      <c r="C216" s="1" t="s">
        <v>1545</v>
      </c>
      <c r="D216" s="22" t="s">
        <v>294</v>
      </c>
      <c r="E216" s="22" t="s">
        <v>32</v>
      </c>
      <c r="F216" s="22" t="s">
        <v>1546</v>
      </c>
      <c r="G216" s="23" t="s">
        <v>32</v>
      </c>
      <c r="H216" s="23" t="s">
        <v>32</v>
      </c>
      <c r="I216" s="23" t="s">
        <v>32</v>
      </c>
      <c r="J216" s="23" t="s">
        <v>1547</v>
      </c>
      <c r="K216" s="22" t="s">
        <v>167</v>
      </c>
      <c r="L216" s="22" t="s">
        <v>468</v>
      </c>
      <c r="M216" s="22" t="s">
        <v>32</v>
      </c>
      <c r="N216" s="22" t="s">
        <v>32</v>
      </c>
      <c r="O216" s="23" t="s">
        <v>1548</v>
      </c>
      <c r="P216" s="23" t="s">
        <v>140</v>
      </c>
      <c r="Q216" s="22" t="s">
        <v>32</v>
      </c>
      <c r="R216" s="22" t="s">
        <v>32</v>
      </c>
      <c r="S216" s="22" t="s">
        <v>32</v>
      </c>
      <c r="T216" s="23" t="s">
        <v>40</v>
      </c>
      <c r="U216" s="22" t="s">
        <v>32</v>
      </c>
      <c r="V216" s="22" t="s">
        <v>39</v>
      </c>
      <c r="W216" s="23" t="s">
        <v>32</v>
      </c>
      <c r="X216" s="22" t="s">
        <v>83</v>
      </c>
      <c r="Y216" s="22" t="s">
        <v>1549</v>
      </c>
      <c r="Z216" s="22">
        <v>2.6</v>
      </c>
      <c r="AA216" s="22" t="s">
        <v>1550</v>
      </c>
      <c r="AB216" s="1" t="s">
        <v>1050</v>
      </c>
      <c r="AC216" s="1" t="s">
        <v>1557</v>
      </c>
      <c r="AD216" s="1" t="s">
        <v>1558</v>
      </c>
      <c r="AE216" s="1" t="s">
        <v>1015</v>
      </c>
      <c r="AF216" s="1" t="s">
        <v>1559</v>
      </c>
      <c r="AG216" s="1">
        <v>100</v>
      </c>
      <c r="AH216" s="1" t="s">
        <v>1560</v>
      </c>
      <c r="AI216" s="1" t="s">
        <v>837</v>
      </c>
      <c r="AJ216" s="1" t="s">
        <v>1554</v>
      </c>
      <c r="AK216" s="1" t="s">
        <v>426</v>
      </c>
      <c r="AL216" s="1">
        <v>-273</v>
      </c>
      <c r="AM216" s="1" t="s">
        <v>1561</v>
      </c>
      <c r="AN216" s="1" t="s">
        <v>854</v>
      </c>
      <c r="AO216" s="1" t="s">
        <v>855</v>
      </c>
      <c r="AP216" s="1" t="s">
        <v>78</v>
      </c>
      <c r="AQ216" s="1" t="s">
        <v>78</v>
      </c>
      <c r="AR216" s="1" t="s">
        <v>113</v>
      </c>
      <c r="AS216" s="1" t="s">
        <v>78</v>
      </c>
      <c r="AT216" s="1" t="s">
        <v>57</v>
      </c>
      <c r="AU216" s="1"/>
    </row>
    <row r="217" spans="2:47" ht="18" customHeight="1" x14ac:dyDescent="0.2">
      <c r="B217" s="14" t="s">
        <v>1562</v>
      </c>
      <c r="C217" s="1" t="s">
        <v>1563</v>
      </c>
      <c r="D217" s="22" t="s">
        <v>1528</v>
      </c>
      <c r="E217" s="22" t="s">
        <v>32</v>
      </c>
      <c r="F217" s="22" t="s">
        <v>1564</v>
      </c>
      <c r="G217" s="23" t="s">
        <v>32</v>
      </c>
      <c r="H217" s="23" t="s">
        <v>32</v>
      </c>
      <c r="I217" s="23" t="s">
        <v>32</v>
      </c>
      <c r="J217" s="23" t="s">
        <v>1565</v>
      </c>
      <c r="K217" s="22" t="s">
        <v>1566</v>
      </c>
      <c r="L217" s="22" t="s">
        <v>1567</v>
      </c>
      <c r="M217" s="22" t="s">
        <v>32</v>
      </c>
      <c r="N217" s="22" t="s">
        <v>32</v>
      </c>
      <c r="O217" s="23" t="s">
        <v>1049</v>
      </c>
      <c r="P217" s="23" t="s">
        <v>1565</v>
      </c>
      <c r="Q217" s="22" t="s">
        <v>32</v>
      </c>
      <c r="R217" s="22" t="s">
        <v>32</v>
      </c>
      <c r="S217" s="22" t="s">
        <v>32</v>
      </c>
      <c r="T217" s="23" t="s">
        <v>59</v>
      </c>
      <c r="U217" s="22" t="s">
        <v>32</v>
      </c>
      <c r="V217" s="22" t="s">
        <v>689</v>
      </c>
      <c r="W217" s="23" t="s">
        <v>32</v>
      </c>
      <c r="X217" s="22" t="s">
        <v>1568</v>
      </c>
      <c r="Y217" s="22" t="s">
        <v>1569</v>
      </c>
      <c r="Z217" s="22">
        <v>2.58</v>
      </c>
      <c r="AA217" s="22" t="s">
        <v>1570</v>
      </c>
      <c r="AB217" s="1" t="s">
        <v>1571</v>
      </c>
      <c r="AC217" s="1" t="s">
        <v>1572</v>
      </c>
      <c r="AD217" s="1" t="s">
        <v>1573</v>
      </c>
      <c r="AE217" s="1" t="s">
        <v>944</v>
      </c>
      <c r="AF217" s="1" t="s">
        <v>1574</v>
      </c>
      <c r="AG217" s="1" t="s">
        <v>32</v>
      </c>
      <c r="AH217" s="1" t="s">
        <v>1575</v>
      </c>
      <c r="AI217" s="1" t="s">
        <v>1576</v>
      </c>
      <c r="AJ217" s="1" t="s">
        <v>1577</v>
      </c>
      <c r="AK217" s="1" t="s">
        <v>426</v>
      </c>
      <c r="AL217" s="1">
        <v>-273</v>
      </c>
      <c r="AM217" s="1" t="s">
        <v>1578</v>
      </c>
      <c r="AN217" s="1" t="s">
        <v>1579</v>
      </c>
      <c r="AO217" s="1" t="s">
        <v>1580</v>
      </c>
      <c r="AP217" s="1" t="s">
        <v>78</v>
      </c>
      <c r="AQ217" s="1" t="s">
        <v>78</v>
      </c>
      <c r="AR217" s="1" t="s">
        <v>113</v>
      </c>
      <c r="AS217" s="1" t="s">
        <v>78</v>
      </c>
      <c r="AT217" s="1" t="s">
        <v>57</v>
      </c>
      <c r="AU217" s="1"/>
    </row>
    <row r="218" spans="2:47" ht="18" customHeight="1" x14ac:dyDescent="0.2">
      <c r="B218" s="14" t="s">
        <v>1581</v>
      </c>
      <c r="C218" s="1" t="s">
        <v>1582</v>
      </c>
      <c r="D218" s="22" t="s">
        <v>1583</v>
      </c>
      <c r="E218" s="22" t="s">
        <v>32</v>
      </c>
      <c r="F218" s="22" t="s">
        <v>1584</v>
      </c>
      <c r="G218" s="23" t="s">
        <v>32</v>
      </c>
      <c r="H218" s="23" t="s">
        <v>32</v>
      </c>
      <c r="I218" s="23" t="s">
        <v>32</v>
      </c>
      <c r="J218" s="23" t="s">
        <v>1585</v>
      </c>
      <c r="K218" s="22" t="s">
        <v>1587</v>
      </c>
      <c r="L218" s="22" t="s">
        <v>40</v>
      </c>
      <c r="M218" s="22" t="s">
        <v>32</v>
      </c>
      <c r="N218" s="22" t="s">
        <v>32</v>
      </c>
      <c r="O218" s="23" t="s">
        <v>1586</v>
      </c>
      <c r="P218" s="23" t="s">
        <v>167</v>
      </c>
      <c r="Q218" s="22" t="s">
        <v>32</v>
      </c>
      <c r="R218" s="22" t="s">
        <v>32</v>
      </c>
      <c r="S218" s="22" t="s">
        <v>32</v>
      </c>
      <c r="T218" s="23" t="s">
        <v>42</v>
      </c>
      <c r="U218" s="22" t="s">
        <v>32</v>
      </c>
      <c r="V218" s="22" t="s">
        <v>59</v>
      </c>
      <c r="W218" s="23" t="s">
        <v>32</v>
      </c>
      <c r="X218" s="22" t="s">
        <v>1588</v>
      </c>
      <c r="Y218" s="22" t="s">
        <v>32</v>
      </c>
      <c r="Z218" s="22">
        <v>3.57</v>
      </c>
      <c r="AA218" s="22" t="s">
        <v>750</v>
      </c>
      <c r="AB218" s="1" t="s">
        <v>362</v>
      </c>
      <c r="AC218" s="1" t="s">
        <v>1589</v>
      </c>
      <c r="AD218" s="1" t="s">
        <v>1590</v>
      </c>
      <c r="AE218" s="1" t="s">
        <v>1535</v>
      </c>
      <c r="AF218" s="1" t="s">
        <v>1591</v>
      </c>
      <c r="AG218" s="1">
        <v>140</v>
      </c>
      <c r="AH218" s="1" t="s">
        <v>1592</v>
      </c>
      <c r="AI218" s="1" t="s">
        <v>1593</v>
      </c>
      <c r="AJ218" s="1" t="s">
        <v>1538</v>
      </c>
      <c r="AK218" s="1" t="s">
        <v>426</v>
      </c>
      <c r="AL218" s="1">
        <v>-273</v>
      </c>
      <c r="AM218" s="1" t="s">
        <v>1594</v>
      </c>
      <c r="AN218" s="1" t="s">
        <v>1595</v>
      </c>
      <c r="AO218" s="1" t="s">
        <v>497</v>
      </c>
      <c r="AP218" s="1" t="s">
        <v>57</v>
      </c>
      <c r="AQ218" s="1" t="s">
        <v>113</v>
      </c>
      <c r="AR218" s="1" t="s">
        <v>78</v>
      </c>
      <c r="AS218" s="1" t="s">
        <v>78</v>
      </c>
      <c r="AT218" s="1" t="s">
        <v>57</v>
      </c>
      <c r="AU218" s="1"/>
    </row>
    <row r="219" spans="2:47" ht="18" customHeight="1" x14ac:dyDescent="0.2">
      <c r="B219" s="14" t="s">
        <v>1581</v>
      </c>
      <c r="C219" s="1" t="s">
        <v>1582</v>
      </c>
      <c r="D219" s="22" t="s">
        <v>1596</v>
      </c>
      <c r="E219" s="22" t="s">
        <v>32</v>
      </c>
      <c r="F219" s="22" t="s">
        <v>1584</v>
      </c>
      <c r="G219" s="23" t="s">
        <v>32</v>
      </c>
      <c r="H219" s="23" t="s">
        <v>32</v>
      </c>
      <c r="I219" s="23" t="s">
        <v>32</v>
      </c>
      <c r="J219" s="23" t="s">
        <v>1585</v>
      </c>
      <c r="K219" s="22" t="s">
        <v>1587</v>
      </c>
      <c r="L219" s="22" t="s">
        <v>40</v>
      </c>
      <c r="M219" s="22" t="s">
        <v>32</v>
      </c>
      <c r="N219" s="22" t="s">
        <v>32</v>
      </c>
      <c r="O219" s="23" t="s">
        <v>1586</v>
      </c>
      <c r="P219" s="23" t="s">
        <v>167</v>
      </c>
      <c r="Q219" s="22" t="s">
        <v>32</v>
      </c>
      <c r="R219" s="22" t="s">
        <v>32</v>
      </c>
      <c r="S219" s="22" t="s">
        <v>32</v>
      </c>
      <c r="T219" s="23" t="s">
        <v>42</v>
      </c>
      <c r="U219" s="22" t="s">
        <v>32</v>
      </c>
      <c r="V219" s="22" t="s">
        <v>59</v>
      </c>
      <c r="W219" s="23" t="s">
        <v>32</v>
      </c>
      <c r="X219" s="22" t="s">
        <v>1588</v>
      </c>
      <c r="Y219" s="22" t="s">
        <v>32</v>
      </c>
      <c r="Z219" s="22">
        <v>3.57</v>
      </c>
      <c r="AA219" s="22" t="s">
        <v>750</v>
      </c>
      <c r="AB219" s="1" t="s">
        <v>362</v>
      </c>
      <c r="AC219" s="1" t="s">
        <v>1598</v>
      </c>
      <c r="AD219" s="1" t="s">
        <v>1599</v>
      </c>
      <c r="AE219" s="1" t="s">
        <v>1542</v>
      </c>
      <c r="AF219" s="1" t="s">
        <v>1591</v>
      </c>
      <c r="AG219" s="1">
        <v>140</v>
      </c>
      <c r="AH219" s="1" t="s">
        <v>1600</v>
      </c>
      <c r="AI219" s="1" t="s">
        <v>1601</v>
      </c>
      <c r="AJ219" s="1" t="s">
        <v>1538</v>
      </c>
      <c r="AK219" s="1" t="s">
        <v>426</v>
      </c>
      <c r="AL219" s="1">
        <v>-273</v>
      </c>
      <c r="AM219" s="1" t="s">
        <v>1594</v>
      </c>
      <c r="AN219" s="1" t="s">
        <v>1595</v>
      </c>
      <c r="AO219" s="1" t="s">
        <v>497</v>
      </c>
      <c r="AP219" s="1" t="s">
        <v>57</v>
      </c>
      <c r="AQ219" s="1" t="s">
        <v>113</v>
      </c>
      <c r="AR219" s="1" t="s">
        <v>78</v>
      </c>
      <c r="AS219" s="1" t="s">
        <v>78</v>
      </c>
      <c r="AT219" s="1" t="s">
        <v>57</v>
      </c>
      <c r="AU219" s="1"/>
    </row>
    <row r="220" spans="2:47" ht="18" customHeight="1" x14ac:dyDescent="0.2">
      <c r="B220" s="14" t="s">
        <v>1581</v>
      </c>
      <c r="C220" s="1" t="s">
        <v>1582</v>
      </c>
      <c r="D220" s="22" t="s">
        <v>1597</v>
      </c>
      <c r="E220" s="22" t="s">
        <v>32</v>
      </c>
      <c r="F220" s="22" t="s">
        <v>1584</v>
      </c>
      <c r="G220" s="23" t="s">
        <v>32</v>
      </c>
      <c r="H220" s="23" t="s">
        <v>32</v>
      </c>
      <c r="I220" s="23" t="s">
        <v>32</v>
      </c>
      <c r="J220" s="23" t="s">
        <v>1585</v>
      </c>
      <c r="K220" s="22" t="s">
        <v>1587</v>
      </c>
      <c r="L220" s="22" t="s">
        <v>40</v>
      </c>
      <c r="M220" s="22" t="s">
        <v>32</v>
      </c>
      <c r="N220" s="22" t="s">
        <v>32</v>
      </c>
      <c r="O220" s="23" t="s">
        <v>1586</v>
      </c>
      <c r="P220" s="23" t="s">
        <v>167</v>
      </c>
      <c r="Q220" s="22" t="s">
        <v>32</v>
      </c>
      <c r="R220" s="22" t="s">
        <v>32</v>
      </c>
      <c r="S220" s="22" t="s">
        <v>32</v>
      </c>
      <c r="T220" s="23" t="s">
        <v>42</v>
      </c>
      <c r="U220" s="22" t="s">
        <v>32</v>
      </c>
      <c r="V220" s="22" t="s">
        <v>59</v>
      </c>
      <c r="W220" s="23" t="s">
        <v>32</v>
      </c>
      <c r="X220" s="22" t="s">
        <v>1588</v>
      </c>
      <c r="Y220" s="22" t="s">
        <v>32</v>
      </c>
      <c r="Z220" s="22">
        <v>3.57</v>
      </c>
      <c r="AA220" s="22" t="s">
        <v>750</v>
      </c>
      <c r="AB220" s="1" t="s">
        <v>240</v>
      </c>
      <c r="AC220" s="1" t="s">
        <v>1032</v>
      </c>
      <c r="AD220" s="1" t="s">
        <v>1602</v>
      </c>
      <c r="AE220" s="1" t="s">
        <v>1603</v>
      </c>
      <c r="AF220" s="1" t="s">
        <v>1591</v>
      </c>
      <c r="AG220" s="1">
        <v>140</v>
      </c>
      <c r="AH220" s="1" t="s">
        <v>1604</v>
      </c>
      <c r="AI220" s="1" t="s">
        <v>1605</v>
      </c>
      <c r="AJ220" s="1" t="s">
        <v>1538</v>
      </c>
      <c r="AK220" s="1" t="s">
        <v>426</v>
      </c>
      <c r="AL220" s="1">
        <v>-273</v>
      </c>
      <c r="AM220" s="1" t="s">
        <v>1594</v>
      </c>
      <c r="AN220" s="1" t="s">
        <v>1595</v>
      </c>
      <c r="AO220" s="1" t="s">
        <v>497</v>
      </c>
      <c r="AP220" s="1" t="s">
        <v>57</v>
      </c>
      <c r="AQ220" s="1" t="s">
        <v>113</v>
      </c>
      <c r="AR220" s="1" t="s">
        <v>78</v>
      </c>
      <c r="AS220" s="1" t="s">
        <v>78</v>
      </c>
      <c r="AT220" s="1" t="s">
        <v>57</v>
      </c>
      <c r="AU220" s="1"/>
    </row>
    <row r="221" spans="2:47" ht="18" customHeight="1" x14ac:dyDescent="0.2">
      <c r="B221" s="14" t="s">
        <v>1610</v>
      </c>
      <c r="C221" s="1" t="s">
        <v>1611</v>
      </c>
      <c r="D221" s="22" t="s">
        <v>1597</v>
      </c>
      <c r="E221" s="22" t="s">
        <v>32</v>
      </c>
      <c r="F221" s="22" t="s">
        <v>1612</v>
      </c>
      <c r="G221" s="23" t="s">
        <v>32</v>
      </c>
      <c r="H221" s="23" t="s">
        <v>32</v>
      </c>
      <c r="I221" s="23" t="s">
        <v>32</v>
      </c>
      <c r="J221" s="23" t="s">
        <v>1565</v>
      </c>
      <c r="K221" s="22" t="s">
        <v>1613</v>
      </c>
      <c r="L221" s="22" t="s">
        <v>226</v>
      </c>
      <c r="M221" s="22" t="s">
        <v>32</v>
      </c>
      <c r="N221" s="22" t="s">
        <v>32</v>
      </c>
      <c r="O221" s="23" t="s">
        <v>721</v>
      </c>
      <c r="P221" s="23" t="s">
        <v>59</v>
      </c>
      <c r="Q221" s="22" t="s">
        <v>32</v>
      </c>
      <c r="R221" s="22" t="s">
        <v>32</v>
      </c>
      <c r="S221" s="22" t="s">
        <v>32</v>
      </c>
      <c r="T221" s="23" t="s">
        <v>719</v>
      </c>
      <c r="U221" s="22" t="s">
        <v>32</v>
      </c>
      <c r="V221" s="22" t="s">
        <v>689</v>
      </c>
      <c r="W221" s="23" t="s">
        <v>32</v>
      </c>
      <c r="X221" s="22" t="s">
        <v>1568</v>
      </c>
      <c r="Y221" s="22" t="s">
        <v>722</v>
      </c>
      <c r="Z221" s="22">
        <v>2.86</v>
      </c>
      <c r="AA221" s="22" t="s">
        <v>815</v>
      </c>
      <c r="AB221" s="1" t="s">
        <v>66</v>
      </c>
      <c r="AC221" s="1" t="s">
        <v>1614</v>
      </c>
      <c r="AD221" s="1" t="s">
        <v>1615</v>
      </c>
      <c r="AE221" s="1" t="s">
        <v>1616</v>
      </c>
      <c r="AF221" s="1" t="s">
        <v>1591</v>
      </c>
      <c r="AG221" s="1" t="s">
        <v>32</v>
      </c>
      <c r="AH221" s="1" t="s">
        <v>245</v>
      </c>
      <c r="AI221" s="1" t="s">
        <v>1617</v>
      </c>
      <c r="AJ221" s="1" t="s">
        <v>1618</v>
      </c>
      <c r="AK221" s="1" t="s">
        <v>426</v>
      </c>
      <c r="AL221" s="1">
        <v>-273</v>
      </c>
      <c r="AM221" s="1" t="s">
        <v>526</v>
      </c>
      <c r="AN221" s="1" t="s">
        <v>180</v>
      </c>
      <c r="AO221" s="1" t="s">
        <v>582</v>
      </c>
      <c r="AP221" s="1" t="s">
        <v>78</v>
      </c>
      <c r="AQ221" s="1" t="s">
        <v>78</v>
      </c>
      <c r="AR221" s="1" t="s">
        <v>78</v>
      </c>
      <c r="AS221" s="1" t="s">
        <v>78</v>
      </c>
      <c r="AT221" s="1" t="s">
        <v>57</v>
      </c>
      <c r="AU221" s="1"/>
    </row>
    <row r="222" spans="2:47" ht="18" customHeight="1" x14ac:dyDescent="0.2">
      <c r="B222" s="14" t="s">
        <v>1610</v>
      </c>
      <c r="C222" s="1" t="s">
        <v>1611</v>
      </c>
      <c r="D222" s="22" t="s">
        <v>1606</v>
      </c>
      <c r="E222" s="22" t="s">
        <v>32</v>
      </c>
      <c r="F222" s="22" t="s">
        <v>1612</v>
      </c>
      <c r="G222" s="23" t="s">
        <v>32</v>
      </c>
      <c r="H222" s="23" t="s">
        <v>32</v>
      </c>
      <c r="I222" s="23" t="s">
        <v>32</v>
      </c>
      <c r="J222" s="23" t="s">
        <v>1565</v>
      </c>
      <c r="K222" s="22" t="s">
        <v>1613</v>
      </c>
      <c r="L222" s="22" t="s">
        <v>226</v>
      </c>
      <c r="M222" s="22" t="s">
        <v>32</v>
      </c>
      <c r="N222" s="22" t="s">
        <v>32</v>
      </c>
      <c r="O222" s="23" t="s">
        <v>721</v>
      </c>
      <c r="P222" s="23" t="s">
        <v>59</v>
      </c>
      <c r="Q222" s="22" t="s">
        <v>32</v>
      </c>
      <c r="R222" s="22" t="s">
        <v>32</v>
      </c>
      <c r="S222" s="22" t="s">
        <v>32</v>
      </c>
      <c r="T222" s="23" t="s">
        <v>719</v>
      </c>
      <c r="U222" s="22" t="s">
        <v>32</v>
      </c>
      <c r="V222" s="22" t="s">
        <v>689</v>
      </c>
      <c r="W222" s="23" t="s">
        <v>32</v>
      </c>
      <c r="X222" s="22" t="s">
        <v>1568</v>
      </c>
      <c r="Y222" s="22" t="s">
        <v>722</v>
      </c>
      <c r="Z222" s="22">
        <v>2.86</v>
      </c>
      <c r="AA222" s="22" t="s">
        <v>815</v>
      </c>
      <c r="AB222" s="1" t="s">
        <v>362</v>
      </c>
      <c r="AC222" s="1" t="s">
        <v>1619</v>
      </c>
      <c r="AD222" s="1" t="s">
        <v>1620</v>
      </c>
      <c r="AE222" s="1" t="s">
        <v>776</v>
      </c>
      <c r="AF222" s="1" t="s">
        <v>1591</v>
      </c>
      <c r="AG222" s="1">
        <v>150</v>
      </c>
      <c r="AH222" s="1" t="s">
        <v>245</v>
      </c>
      <c r="AI222" s="1" t="s">
        <v>1621</v>
      </c>
      <c r="AJ222" s="1" t="s">
        <v>1618</v>
      </c>
      <c r="AK222" s="1" t="s">
        <v>426</v>
      </c>
      <c r="AL222" s="1">
        <v>-273</v>
      </c>
      <c r="AM222" s="1" t="s">
        <v>580</v>
      </c>
      <c r="AN222" s="1" t="s">
        <v>180</v>
      </c>
      <c r="AO222" s="1" t="s">
        <v>582</v>
      </c>
      <c r="AP222" s="1" t="s">
        <v>78</v>
      </c>
      <c r="AQ222" s="1" t="s">
        <v>78</v>
      </c>
      <c r="AR222" s="1" t="s">
        <v>78</v>
      </c>
      <c r="AS222" s="1" t="s">
        <v>78</v>
      </c>
      <c r="AT222" s="1" t="s">
        <v>57</v>
      </c>
      <c r="AU222" s="1"/>
    </row>
    <row r="223" spans="2:47" ht="18" customHeight="1" x14ac:dyDescent="0.2">
      <c r="B223" s="14" t="s">
        <v>1610</v>
      </c>
      <c r="C223" s="1" t="s">
        <v>1611</v>
      </c>
      <c r="D223" s="22" t="s">
        <v>1528</v>
      </c>
      <c r="E223" s="22" t="s">
        <v>32</v>
      </c>
      <c r="F223" s="22" t="s">
        <v>1612</v>
      </c>
      <c r="G223" s="23" t="s">
        <v>32</v>
      </c>
      <c r="H223" s="23" t="s">
        <v>32</v>
      </c>
      <c r="I223" s="23" t="s">
        <v>32</v>
      </c>
      <c r="J223" s="23" t="s">
        <v>1565</v>
      </c>
      <c r="K223" s="22" t="s">
        <v>1613</v>
      </c>
      <c r="L223" s="22" t="s">
        <v>226</v>
      </c>
      <c r="M223" s="22" t="s">
        <v>32</v>
      </c>
      <c r="N223" s="22" t="s">
        <v>32</v>
      </c>
      <c r="O223" s="23" t="s">
        <v>721</v>
      </c>
      <c r="P223" s="23" t="s">
        <v>59</v>
      </c>
      <c r="Q223" s="22" t="s">
        <v>32</v>
      </c>
      <c r="R223" s="22" t="s">
        <v>32</v>
      </c>
      <c r="S223" s="22" t="s">
        <v>32</v>
      </c>
      <c r="T223" s="23" t="s">
        <v>719</v>
      </c>
      <c r="U223" s="22" t="s">
        <v>32</v>
      </c>
      <c r="V223" s="22" t="s">
        <v>689</v>
      </c>
      <c r="W223" s="23" t="s">
        <v>32</v>
      </c>
      <c r="X223" s="22" t="s">
        <v>1568</v>
      </c>
      <c r="Y223" s="22" t="s">
        <v>722</v>
      </c>
      <c r="Z223" s="22">
        <v>2.86</v>
      </c>
      <c r="AA223" s="22" t="s">
        <v>815</v>
      </c>
      <c r="AB223" s="1" t="s">
        <v>66</v>
      </c>
      <c r="AC223" s="1" t="s">
        <v>593</v>
      </c>
      <c r="AD223" s="1" t="s">
        <v>1541</v>
      </c>
      <c r="AE223" s="1" t="s">
        <v>1622</v>
      </c>
      <c r="AF223" s="1" t="s">
        <v>1591</v>
      </c>
      <c r="AG223" s="1" t="s">
        <v>32</v>
      </c>
      <c r="AH223" s="1" t="s">
        <v>245</v>
      </c>
      <c r="AI223" s="1" t="s">
        <v>1623</v>
      </c>
      <c r="AJ223" s="1" t="s">
        <v>1618</v>
      </c>
      <c r="AK223" s="1" t="s">
        <v>426</v>
      </c>
      <c r="AL223" s="1">
        <v>-273</v>
      </c>
      <c r="AM223" s="1" t="s">
        <v>580</v>
      </c>
      <c r="AN223" s="1" t="s">
        <v>180</v>
      </c>
      <c r="AO223" s="1" t="s">
        <v>582</v>
      </c>
      <c r="AP223" s="1" t="s">
        <v>78</v>
      </c>
      <c r="AQ223" s="1" t="s">
        <v>78</v>
      </c>
      <c r="AR223" s="1" t="s">
        <v>78</v>
      </c>
      <c r="AS223" s="1" t="s">
        <v>78</v>
      </c>
      <c r="AT223" s="1" t="s">
        <v>57</v>
      </c>
      <c r="AU223" s="1"/>
    </row>
    <row r="224" spans="2:47" ht="18" customHeight="1" x14ac:dyDescent="0.2">
      <c r="B224" s="14" t="s">
        <v>1610</v>
      </c>
      <c r="C224" s="1" t="s">
        <v>1611</v>
      </c>
      <c r="D224" s="22" t="s">
        <v>1607</v>
      </c>
      <c r="E224" s="22" t="s">
        <v>32</v>
      </c>
      <c r="F224" s="22" t="s">
        <v>1612</v>
      </c>
      <c r="G224" s="23" t="s">
        <v>32</v>
      </c>
      <c r="H224" s="23" t="s">
        <v>32</v>
      </c>
      <c r="I224" s="23" t="s">
        <v>32</v>
      </c>
      <c r="J224" s="23" t="s">
        <v>1565</v>
      </c>
      <c r="K224" s="22" t="s">
        <v>1613</v>
      </c>
      <c r="L224" s="22" t="s">
        <v>226</v>
      </c>
      <c r="M224" s="22" t="s">
        <v>32</v>
      </c>
      <c r="N224" s="22" t="s">
        <v>32</v>
      </c>
      <c r="O224" s="23" t="s">
        <v>721</v>
      </c>
      <c r="P224" s="23" t="s">
        <v>59</v>
      </c>
      <c r="Q224" s="22" t="s">
        <v>32</v>
      </c>
      <c r="R224" s="22" t="s">
        <v>32</v>
      </c>
      <c r="S224" s="22" t="s">
        <v>32</v>
      </c>
      <c r="T224" s="23" t="s">
        <v>719</v>
      </c>
      <c r="U224" s="22" t="s">
        <v>32</v>
      </c>
      <c r="V224" s="22" t="s">
        <v>689</v>
      </c>
      <c r="W224" s="23" t="s">
        <v>32</v>
      </c>
      <c r="X224" s="22" t="s">
        <v>1568</v>
      </c>
      <c r="Y224" s="22" t="s">
        <v>722</v>
      </c>
      <c r="Z224" s="22">
        <v>2.86</v>
      </c>
      <c r="AA224" s="22" t="s">
        <v>815</v>
      </c>
      <c r="AB224" s="1" t="s">
        <v>66</v>
      </c>
      <c r="AC224" s="1" t="s">
        <v>1624</v>
      </c>
      <c r="AD224" s="1" t="s">
        <v>1625</v>
      </c>
      <c r="AE224" s="1" t="s">
        <v>1626</v>
      </c>
      <c r="AF224" s="1" t="s">
        <v>1591</v>
      </c>
      <c r="AG224" s="1" t="s">
        <v>32</v>
      </c>
      <c r="AH224" s="1" t="s">
        <v>245</v>
      </c>
      <c r="AI224" s="1" t="s">
        <v>1627</v>
      </c>
      <c r="AJ224" s="1" t="s">
        <v>1618</v>
      </c>
      <c r="AK224" s="1" t="s">
        <v>426</v>
      </c>
      <c r="AL224" s="1">
        <v>-273</v>
      </c>
      <c r="AM224" s="1" t="s">
        <v>526</v>
      </c>
      <c r="AN224" s="1" t="s">
        <v>180</v>
      </c>
      <c r="AO224" s="1" t="s">
        <v>582</v>
      </c>
      <c r="AP224" s="1" t="s">
        <v>78</v>
      </c>
      <c r="AQ224" s="1" t="s">
        <v>78</v>
      </c>
      <c r="AR224" s="1" t="s">
        <v>78</v>
      </c>
      <c r="AS224" s="1" t="s">
        <v>78</v>
      </c>
      <c r="AT224" s="1" t="s">
        <v>57</v>
      </c>
      <c r="AU224" s="1"/>
    </row>
    <row r="225" spans="2:47" ht="18" customHeight="1" x14ac:dyDescent="0.2">
      <c r="B225" s="14" t="s">
        <v>1610</v>
      </c>
      <c r="C225" s="1" t="s">
        <v>1611</v>
      </c>
      <c r="D225" s="22" t="s">
        <v>1608</v>
      </c>
      <c r="E225" s="22" t="s">
        <v>32</v>
      </c>
      <c r="F225" s="22" t="s">
        <v>1612</v>
      </c>
      <c r="G225" s="23" t="s">
        <v>32</v>
      </c>
      <c r="H225" s="23" t="s">
        <v>32</v>
      </c>
      <c r="I225" s="23" t="s">
        <v>32</v>
      </c>
      <c r="J225" s="23" t="s">
        <v>1565</v>
      </c>
      <c r="K225" s="22" t="s">
        <v>1613</v>
      </c>
      <c r="L225" s="22" t="s">
        <v>226</v>
      </c>
      <c r="M225" s="22" t="s">
        <v>32</v>
      </c>
      <c r="N225" s="22" t="s">
        <v>32</v>
      </c>
      <c r="O225" s="23" t="s">
        <v>721</v>
      </c>
      <c r="P225" s="23" t="s">
        <v>59</v>
      </c>
      <c r="Q225" s="22" t="s">
        <v>32</v>
      </c>
      <c r="R225" s="22" t="s">
        <v>32</v>
      </c>
      <c r="S225" s="22" t="s">
        <v>32</v>
      </c>
      <c r="T225" s="23" t="s">
        <v>719</v>
      </c>
      <c r="U225" s="22" t="s">
        <v>32</v>
      </c>
      <c r="V225" s="22" t="s">
        <v>689</v>
      </c>
      <c r="W225" s="23" t="s">
        <v>32</v>
      </c>
      <c r="X225" s="22" t="s">
        <v>1568</v>
      </c>
      <c r="Y225" s="22" t="s">
        <v>722</v>
      </c>
      <c r="Z225" s="22">
        <v>2.86</v>
      </c>
      <c r="AA225" s="22" t="s">
        <v>815</v>
      </c>
      <c r="AB225" s="1" t="s">
        <v>362</v>
      </c>
      <c r="AC225" s="1" t="s">
        <v>1628</v>
      </c>
      <c r="AD225" s="1" t="s">
        <v>1629</v>
      </c>
      <c r="AE225" s="1" t="s">
        <v>1630</v>
      </c>
      <c r="AF225" s="1" t="s">
        <v>1591</v>
      </c>
      <c r="AG225" s="1" t="s">
        <v>32</v>
      </c>
      <c r="AH225" s="1" t="s">
        <v>245</v>
      </c>
      <c r="AI225" s="1" t="s">
        <v>1631</v>
      </c>
      <c r="AJ225" s="1" t="s">
        <v>1618</v>
      </c>
      <c r="AK225" s="1" t="s">
        <v>426</v>
      </c>
      <c r="AL225" s="1">
        <v>-273</v>
      </c>
      <c r="AM225" s="1" t="s">
        <v>580</v>
      </c>
      <c r="AN225" s="1" t="s">
        <v>180</v>
      </c>
      <c r="AO225" s="1" t="s">
        <v>582</v>
      </c>
      <c r="AP225" s="1" t="s">
        <v>78</v>
      </c>
      <c r="AQ225" s="1" t="s">
        <v>78</v>
      </c>
      <c r="AR225" s="1" t="s">
        <v>78</v>
      </c>
      <c r="AS225" s="1" t="s">
        <v>78</v>
      </c>
      <c r="AT225" s="1" t="s">
        <v>57</v>
      </c>
      <c r="AU225" s="1"/>
    </row>
    <row r="226" spans="2:47" ht="18" customHeight="1" x14ac:dyDescent="0.2">
      <c r="B226" s="14" t="s">
        <v>1610</v>
      </c>
      <c r="C226" s="1" t="s">
        <v>1611</v>
      </c>
      <c r="D226" s="22" t="s">
        <v>1556</v>
      </c>
      <c r="E226" s="22" t="s">
        <v>32</v>
      </c>
      <c r="F226" s="22" t="s">
        <v>1612</v>
      </c>
      <c r="G226" s="23" t="s">
        <v>32</v>
      </c>
      <c r="H226" s="23" t="s">
        <v>32</v>
      </c>
      <c r="I226" s="23" t="s">
        <v>32</v>
      </c>
      <c r="J226" s="23" t="s">
        <v>1565</v>
      </c>
      <c r="K226" s="22" t="s">
        <v>1613</v>
      </c>
      <c r="L226" s="22" t="s">
        <v>226</v>
      </c>
      <c r="M226" s="22" t="s">
        <v>32</v>
      </c>
      <c r="N226" s="22" t="s">
        <v>32</v>
      </c>
      <c r="O226" s="23" t="s">
        <v>721</v>
      </c>
      <c r="P226" s="23" t="s">
        <v>59</v>
      </c>
      <c r="Q226" s="22" t="s">
        <v>32</v>
      </c>
      <c r="R226" s="22" t="s">
        <v>32</v>
      </c>
      <c r="S226" s="22" t="s">
        <v>32</v>
      </c>
      <c r="T226" s="23" t="s">
        <v>719</v>
      </c>
      <c r="U226" s="22" t="s">
        <v>32</v>
      </c>
      <c r="V226" s="22" t="s">
        <v>689</v>
      </c>
      <c r="W226" s="23" t="s">
        <v>32</v>
      </c>
      <c r="X226" s="22" t="s">
        <v>1568</v>
      </c>
      <c r="Y226" s="22" t="s">
        <v>722</v>
      </c>
      <c r="Z226" s="22">
        <v>2.86</v>
      </c>
      <c r="AA226" s="22" t="s">
        <v>815</v>
      </c>
      <c r="AB226" s="1" t="s">
        <v>66</v>
      </c>
      <c r="AC226" s="1" t="s">
        <v>1632</v>
      </c>
      <c r="AD226" s="1" t="s">
        <v>1633</v>
      </c>
      <c r="AE226" s="1" t="s">
        <v>1634</v>
      </c>
      <c r="AF226" s="1" t="s">
        <v>1591</v>
      </c>
      <c r="AG226" s="1" t="s">
        <v>32</v>
      </c>
      <c r="AH226" s="1" t="s">
        <v>245</v>
      </c>
      <c r="AI226" s="1" t="s">
        <v>1635</v>
      </c>
      <c r="AJ226" s="1" t="s">
        <v>1618</v>
      </c>
      <c r="AK226" s="1" t="s">
        <v>426</v>
      </c>
      <c r="AL226" s="1">
        <v>-273</v>
      </c>
      <c r="AM226" s="1" t="s">
        <v>1594</v>
      </c>
      <c r="AN226" s="1" t="s">
        <v>180</v>
      </c>
      <c r="AO226" s="1" t="s">
        <v>582</v>
      </c>
      <c r="AP226" s="1" t="s">
        <v>78</v>
      </c>
      <c r="AQ226" s="1" t="s">
        <v>78</v>
      </c>
      <c r="AR226" s="1" t="s">
        <v>78</v>
      </c>
      <c r="AS226" s="1" t="s">
        <v>78</v>
      </c>
      <c r="AT226" s="1" t="s">
        <v>57</v>
      </c>
      <c r="AU226" s="1"/>
    </row>
    <row r="227" spans="2:47" ht="18" customHeight="1" x14ac:dyDescent="0.2">
      <c r="B227" s="14" t="s">
        <v>1610</v>
      </c>
      <c r="C227" s="1" t="s">
        <v>1611</v>
      </c>
      <c r="D227" s="22" t="s">
        <v>1609</v>
      </c>
      <c r="E227" s="22" t="s">
        <v>32</v>
      </c>
      <c r="F227" s="22" t="s">
        <v>1612</v>
      </c>
      <c r="G227" s="23" t="s">
        <v>32</v>
      </c>
      <c r="H227" s="23" t="s">
        <v>32</v>
      </c>
      <c r="I227" s="23" t="s">
        <v>32</v>
      </c>
      <c r="J227" s="23" t="s">
        <v>1565</v>
      </c>
      <c r="K227" s="22" t="s">
        <v>1613</v>
      </c>
      <c r="L227" s="22" t="s">
        <v>226</v>
      </c>
      <c r="M227" s="22" t="s">
        <v>32</v>
      </c>
      <c r="N227" s="22" t="s">
        <v>32</v>
      </c>
      <c r="O227" s="23" t="s">
        <v>721</v>
      </c>
      <c r="P227" s="23" t="s">
        <v>59</v>
      </c>
      <c r="Q227" s="22" t="s">
        <v>32</v>
      </c>
      <c r="R227" s="22" t="s">
        <v>32</v>
      </c>
      <c r="S227" s="22" t="s">
        <v>32</v>
      </c>
      <c r="T227" s="23" t="s">
        <v>719</v>
      </c>
      <c r="U227" s="22" t="s">
        <v>32</v>
      </c>
      <c r="V227" s="22" t="s">
        <v>689</v>
      </c>
      <c r="W227" s="23" t="s">
        <v>32</v>
      </c>
      <c r="X227" s="22" t="s">
        <v>1568</v>
      </c>
      <c r="Y227" s="22" t="s">
        <v>722</v>
      </c>
      <c r="Z227" s="22">
        <v>2.86</v>
      </c>
      <c r="AA227" s="22" t="s">
        <v>815</v>
      </c>
      <c r="AB227" s="1" t="s">
        <v>66</v>
      </c>
      <c r="AC227" s="1" t="s">
        <v>1632</v>
      </c>
      <c r="AD227" s="1" t="s">
        <v>1636</v>
      </c>
      <c r="AE227" s="1" t="s">
        <v>1626</v>
      </c>
      <c r="AF227" s="1" t="s">
        <v>1591</v>
      </c>
      <c r="AG227" s="1" t="s">
        <v>32</v>
      </c>
      <c r="AH227" s="1" t="s">
        <v>245</v>
      </c>
      <c r="AI227" s="1" t="s">
        <v>1637</v>
      </c>
      <c r="AJ227" s="1" t="s">
        <v>1618</v>
      </c>
      <c r="AK227" s="1" t="s">
        <v>426</v>
      </c>
      <c r="AL227" s="1">
        <v>-273</v>
      </c>
      <c r="AM227" s="1" t="s">
        <v>1594</v>
      </c>
      <c r="AN227" s="1" t="s">
        <v>180</v>
      </c>
      <c r="AO227" s="1" t="s">
        <v>582</v>
      </c>
      <c r="AP227" s="1" t="s">
        <v>78</v>
      </c>
      <c r="AQ227" s="1" t="s">
        <v>78</v>
      </c>
      <c r="AR227" s="1" t="s">
        <v>78</v>
      </c>
      <c r="AS227" s="1" t="s">
        <v>78</v>
      </c>
      <c r="AT227" s="1" t="s">
        <v>57</v>
      </c>
      <c r="AU227" s="1"/>
    </row>
    <row r="228" spans="2:47" ht="18" customHeight="1" x14ac:dyDescent="0.2">
      <c r="B228" s="14" t="s">
        <v>1638</v>
      </c>
      <c r="C228" s="1" t="s">
        <v>1639</v>
      </c>
      <c r="D228" s="22" t="s">
        <v>1640</v>
      </c>
      <c r="E228" s="22" t="s">
        <v>32</v>
      </c>
      <c r="F228" s="22" t="s">
        <v>1642</v>
      </c>
      <c r="G228" s="23" t="s">
        <v>32</v>
      </c>
      <c r="H228" s="23" t="s">
        <v>32</v>
      </c>
      <c r="I228" s="23" t="s">
        <v>32</v>
      </c>
      <c r="J228" s="23" t="s">
        <v>1565</v>
      </c>
      <c r="K228" s="22" t="s">
        <v>1613</v>
      </c>
      <c r="L228" s="22" t="s">
        <v>226</v>
      </c>
      <c r="M228" s="22" t="s">
        <v>32</v>
      </c>
      <c r="N228" s="22" t="s">
        <v>32</v>
      </c>
      <c r="O228" s="23" t="s">
        <v>1643</v>
      </c>
      <c r="P228" s="23" t="s">
        <v>39</v>
      </c>
      <c r="Q228" s="22" t="s">
        <v>32</v>
      </c>
      <c r="R228" s="22" t="s">
        <v>32</v>
      </c>
      <c r="S228" s="22" t="s">
        <v>32</v>
      </c>
      <c r="T228" s="23" t="s">
        <v>59</v>
      </c>
      <c r="U228" s="22" t="s">
        <v>32</v>
      </c>
      <c r="V228" s="22" t="s">
        <v>689</v>
      </c>
      <c r="W228" s="23" t="s">
        <v>32</v>
      </c>
      <c r="X228" s="22" t="s">
        <v>1644</v>
      </c>
      <c r="Y228" s="22" t="s">
        <v>1645</v>
      </c>
      <c r="Z228" s="22">
        <v>2.4900000000000002</v>
      </c>
      <c r="AA228" s="22" t="s">
        <v>457</v>
      </c>
      <c r="AB228" s="1" t="s">
        <v>1646</v>
      </c>
      <c r="AC228" s="1" t="s">
        <v>1647</v>
      </c>
      <c r="AD228" s="1" t="s">
        <v>1648</v>
      </c>
      <c r="AE228" s="1" t="s">
        <v>141</v>
      </c>
      <c r="AF228" s="1" t="s">
        <v>1649</v>
      </c>
      <c r="AG228" s="1" t="s">
        <v>32</v>
      </c>
      <c r="AH228" s="1" t="s">
        <v>1650</v>
      </c>
      <c r="AI228" s="1" t="s">
        <v>1651</v>
      </c>
      <c r="AJ228" s="1" t="s">
        <v>1577</v>
      </c>
      <c r="AK228" s="1" t="s">
        <v>426</v>
      </c>
      <c r="AL228" s="1">
        <v>-273</v>
      </c>
      <c r="AM228" s="1" t="s">
        <v>1652</v>
      </c>
      <c r="AN228" s="1" t="s">
        <v>1653</v>
      </c>
      <c r="AO228" s="1" t="s">
        <v>1654</v>
      </c>
      <c r="AP228" s="1" t="s">
        <v>78</v>
      </c>
      <c r="AQ228" s="1" t="s">
        <v>78</v>
      </c>
      <c r="AR228" s="1" t="s">
        <v>113</v>
      </c>
      <c r="AS228" s="1" t="s">
        <v>78</v>
      </c>
      <c r="AT228" s="1" t="s">
        <v>57</v>
      </c>
      <c r="AU228" s="1"/>
    </row>
    <row r="229" spans="2:47" ht="18" customHeight="1" x14ac:dyDescent="0.2">
      <c r="C229" s="1" t="s">
        <v>1639</v>
      </c>
      <c r="D229" s="22" t="s">
        <v>1641</v>
      </c>
      <c r="E229" s="22" t="s">
        <v>32</v>
      </c>
      <c r="F229" s="22" t="s">
        <v>1642</v>
      </c>
      <c r="G229" s="23" t="s">
        <v>32</v>
      </c>
      <c r="H229" s="23" t="s">
        <v>32</v>
      </c>
      <c r="I229" s="23" t="s">
        <v>32</v>
      </c>
      <c r="J229" s="23" t="s">
        <v>1565</v>
      </c>
      <c r="K229" s="22" t="s">
        <v>1613</v>
      </c>
      <c r="L229" s="22" t="s">
        <v>226</v>
      </c>
      <c r="M229" s="22" t="s">
        <v>32</v>
      </c>
      <c r="N229" s="22" t="s">
        <v>32</v>
      </c>
      <c r="O229" s="23" t="s">
        <v>1643</v>
      </c>
      <c r="P229" s="23" t="s">
        <v>39</v>
      </c>
      <c r="Q229" s="22" t="s">
        <v>32</v>
      </c>
      <c r="R229" s="22" t="s">
        <v>32</v>
      </c>
      <c r="S229" s="22" t="s">
        <v>32</v>
      </c>
      <c r="T229" s="23" t="s">
        <v>59</v>
      </c>
      <c r="U229" s="22" t="s">
        <v>32</v>
      </c>
      <c r="V229" s="22" t="s">
        <v>689</v>
      </c>
      <c r="W229" s="23" t="s">
        <v>32</v>
      </c>
      <c r="X229" s="22" t="s">
        <v>1644</v>
      </c>
      <c r="Y229" s="22" t="s">
        <v>1645</v>
      </c>
      <c r="Z229" s="22">
        <v>2.4900000000000002</v>
      </c>
      <c r="AA229" s="22" t="s">
        <v>457</v>
      </c>
      <c r="AB229" s="1" t="s">
        <v>1646</v>
      </c>
      <c r="AC229" s="1" t="s">
        <v>1655</v>
      </c>
      <c r="AD229" s="1" t="s">
        <v>1656</v>
      </c>
      <c r="AE229" s="1" t="s">
        <v>1657</v>
      </c>
      <c r="AF229" s="1" t="s">
        <v>1658</v>
      </c>
      <c r="AG229" s="1" t="s">
        <v>32</v>
      </c>
      <c r="AH229" s="1" t="s">
        <v>1659</v>
      </c>
      <c r="AI229" s="1" t="s">
        <v>1651</v>
      </c>
      <c r="AJ229" s="1" t="s">
        <v>1577</v>
      </c>
      <c r="AK229" s="1" t="s">
        <v>426</v>
      </c>
      <c r="AL229" s="1">
        <v>-273</v>
      </c>
      <c r="AM229" s="1" t="s">
        <v>1652</v>
      </c>
      <c r="AN229" s="1" t="s">
        <v>1653</v>
      </c>
      <c r="AO229" s="1" t="s">
        <v>1654</v>
      </c>
      <c r="AP229" s="1" t="s">
        <v>78</v>
      </c>
      <c r="AQ229" s="1" t="s">
        <v>78</v>
      </c>
      <c r="AR229" s="1" t="s">
        <v>113</v>
      </c>
      <c r="AS229" s="1" t="s">
        <v>78</v>
      </c>
      <c r="AT229" s="1" t="s">
        <v>57</v>
      </c>
      <c r="AU229" s="1"/>
    </row>
    <row r="230" spans="2:47" ht="18" customHeight="1" x14ac:dyDescent="0.2">
      <c r="B230" s="14" t="s">
        <v>1660</v>
      </c>
      <c r="C230" s="1" t="s">
        <v>1661</v>
      </c>
      <c r="D230" s="22" t="s">
        <v>481</v>
      </c>
      <c r="E230" s="22" t="s">
        <v>32</v>
      </c>
      <c r="F230" s="22" t="s">
        <v>1664</v>
      </c>
      <c r="G230" s="23" t="s">
        <v>32</v>
      </c>
      <c r="H230" s="23" t="s">
        <v>32</v>
      </c>
      <c r="I230" s="23" t="s">
        <v>32</v>
      </c>
      <c r="J230" s="23" t="s">
        <v>1665</v>
      </c>
      <c r="K230" s="22" t="s">
        <v>1666</v>
      </c>
      <c r="L230" s="22" t="s">
        <v>98</v>
      </c>
      <c r="M230" s="22" t="s">
        <v>32</v>
      </c>
      <c r="N230" s="22" t="s">
        <v>32</v>
      </c>
      <c r="O230" s="23" t="s">
        <v>1667</v>
      </c>
      <c r="P230" s="23" t="s">
        <v>273</v>
      </c>
      <c r="Q230" s="22" t="s">
        <v>32</v>
      </c>
      <c r="R230" s="22" t="s">
        <v>32</v>
      </c>
      <c r="S230" s="22" t="s">
        <v>32</v>
      </c>
      <c r="T230" s="23" t="s">
        <v>468</v>
      </c>
      <c r="U230" s="22" t="s">
        <v>32</v>
      </c>
      <c r="V230" s="22" t="s">
        <v>167</v>
      </c>
      <c r="W230" s="23" t="s">
        <v>32</v>
      </c>
      <c r="X230" s="22" t="s">
        <v>1668</v>
      </c>
      <c r="Y230" s="22" t="s">
        <v>32</v>
      </c>
      <c r="Z230" s="22">
        <v>3.88</v>
      </c>
      <c r="AA230" s="22" t="s">
        <v>65</v>
      </c>
      <c r="AB230" s="1" t="s">
        <v>66</v>
      </c>
      <c r="AC230" s="1" t="s">
        <v>1669</v>
      </c>
      <c r="AD230" s="1" t="s">
        <v>1541</v>
      </c>
      <c r="AE230" s="1" t="s">
        <v>1616</v>
      </c>
      <c r="AF230" s="1" t="s">
        <v>1670</v>
      </c>
      <c r="AG230" s="1">
        <v>59</v>
      </c>
      <c r="AH230" s="1" t="s">
        <v>1671</v>
      </c>
      <c r="AI230" s="1" t="s">
        <v>1672</v>
      </c>
      <c r="AJ230" s="1" t="s">
        <v>1577</v>
      </c>
      <c r="AK230" s="1" t="s">
        <v>426</v>
      </c>
      <c r="AL230" s="1">
        <v>-273</v>
      </c>
      <c r="AM230" s="1" t="s">
        <v>661</v>
      </c>
      <c r="AN230" s="1" t="s">
        <v>1673</v>
      </c>
      <c r="AO230" s="1" t="s">
        <v>480</v>
      </c>
      <c r="AP230" s="1" t="s">
        <v>113</v>
      </c>
      <c r="AQ230" s="1" t="s">
        <v>137</v>
      </c>
      <c r="AR230" s="1" t="s">
        <v>113</v>
      </c>
      <c r="AS230" s="1" t="s">
        <v>113</v>
      </c>
      <c r="AT230" s="1" t="s">
        <v>57</v>
      </c>
      <c r="AU230" s="1"/>
    </row>
    <row r="231" spans="2:47" ht="18" customHeight="1" x14ac:dyDescent="0.2">
      <c r="B231" s="14" t="s">
        <v>1660</v>
      </c>
      <c r="C231" s="1" t="s">
        <v>1661</v>
      </c>
      <c r="D231" s="22" t="s">
        <v>294</v>
      </c>
      <c r="E231" s="22" t="s">
        <v>32</v>
      </c>
      <c r="F231" s="22" t="s">
        <v>1664</v>
      </c>
      <c r="G231" s="23" t="s">
        <v>32</v>
      </c>
      <c r="H231" s="23" t="s">
        <v>32</v>
      </c>
      <c r="I231" s="23" t="s">
        <v>32</v>
      </c>
      <c r="J231" s="23" t="s">
        <v>1665</v>
      </c>
      <c r="K231" s="22" t="s">
        <v>1666</v>
      </c>
      <c r="L231" s="22" t="s">
        <v>98</v>
      </c>
      <c r="M231" s="22" t="s">
        <v>32</v>
      </c>
      <c r="N231" s="22" t="s">
        <v>32</v>
      </c>
      <c r="O231" s="23" t="s">
        <v>1667</v>
      </c>
      <c r="P231" s="23" t="s">
        <v>273</v>
      </c>
      <c r="Q231" s="22" t="s">
        <v>32</v>
      </c>
      <c r="R231" s="22" t="s">
        <v>32</v>
      </c>
      <c r="S231" s="22" t="s">
        <v>32</v>
      </c>
      <c r="T231" s="23" t="s">
        <v>468</v>
      </c>
      <c r="U231" s="22" t="s">
        <v>32</v>
      </c>
      <c r="V231" s="22" t="s">
        <v>167</v>
      </c>
      <c r="W231" s="23" t="s">
        <v>32</v>
      </c>
      <c r="X231" s="22" t="s">
        <v>1668</v>
      </c>
      <c r="Y231" s="22" t="s">
        <v>32</v>
      </c>
      <c r="Z231" s="22">
        <v>3.88</v>
      </c>
      <c r="AA231" s="22" t="s">
        <v>65</v>
      </c>
      <c r="AB231" s="1" t="s">
        <v>66</v>
      </c>
      <c r="AC231" s="1" t="s">
        <v>1674</v>
      </c>
      <c r="AD231" s="1" t="s">
        <v>1675</v>
      </c>
      <c r="AE231" s="1" t="s">
        <v>1622</v>
      </c>
      <c r="AF231" s="1" t="s">
        <v>264</v>
      </c>
      <c r="AG231" s="1">
        <v>150</v>
      </c>
      <c r="AH231" s="1" t="s">
        <v>264</v>
      </c>
      <c r="AI231" s="1" t="s">
        <v>1676</v>
      </c>
      <c r="AJ231" s="1" t="s">
        <v>1577</v>
      </c>
      <c r="AK231" s="1" t="s">
        <v>426</v>
      </c>
      <c r="AL231" s="1">
        <v>-273</v>
      </c>
      <c r="AM231" s="1" t="s">
        <v>565</v>
      </c>
      <c r="AN231" s="1" t="s">
        <v>1677</v>
      </c>
      <c r="AO231" s="1" t="s">
        <v>480</v>
      </c>
      <c r="AP231" s="1" t="s">
        <v>113</v>
      </c>
      <c r="AQ231" s="1" t="s">
        <v>137</v>
      </c>
      <c r="AR231" s="1" t="s">
        <v>113</v>
      </c>
      <c r="AS231" s="1" t="s">
        <v>113</v>
      </c>
      <c r="AT231" s="1" t="s">
        <v>57</v>
      </c>
      <c r="AU231" s="1"/>
    </row>
    <row r="232" spans="2:47" ht="18" customHeight="1" x14ac:dyDescent="0.2">
      <c r="B232" s="14" t="s">
        <v>1660</v>
      </c>
      <c r="C232" s="1" t="s">
        <v>1661</v>
      </c>
      <c r="D232" s="22" t="s">
        <v>529</v>
      </c>
      <c r="E232" s="22" t="s">
        <v>32</v>
      </c>
      <c r="F232" s="22" t="s">
        <v>1664</v>
      </c>
      <c r="G232" s="23" t="s">
        <v>32</v>
      </c>
      <c r="H232" s="23" t="s">
        <v>32</v>
      </c>
      <c r="I232" s="23" t="s">
        <v>32</v>
      </c>
      <c r="J232" s="23" t="s">
        <v>1665</v>
      </c>
      <c r="K232" s="22" t="s">
        <v>1666</v>
      </c>
      <c r="L232" s="22" t="s">
        <v>98</v>
      </c>
      <c r="M232" s="22" t="s">
        <v>32</v>
      </c>
      <c r="N232" s="22" t="s">
        <v>32</v>
      </c>
      <c r="O232" s="23" t="s">
        <v>1667</v>
      </c>
      <c r="P232" s="23" t="s">
        <v>273</v>
      </c>
      <c r="Q232" s="22" t="s">
        <v>32</v>
      </c>
      <c r="R232" s="22" t="s">
        <v>32</v>
      </c>
      <c r="S232" s="22" t="s">
        <v>32</v>
      </c>
      <c r="T232" s="23" t="s">
        <v>468</v>
      </c>
      <c r="U232" s="22" t="s">
        <v>32</v>
      </c>
      <c r="V232" s="22" t="s">
        <v>167</v>
      </c>
      <c r="W232" s="23" t="s">
        <v>32</v>
      </c>
      <c r="X232" s="22" t="s">
        <v>1668</v>
      </c>
      <c r="Y232" s="22" t="s">
        <v>32</v>
      </c>
      <c r="Z232" s="22">
        <v>3.88</v>
      </c>
      <c r="AA232" s="22" t="s">
        <v>65</v>
      </c>
      <c r="AB232" s="1" t="s">
        <v>66</v>
      </c>
      <c r="AC232" s="1" t="s">
        <v>1678</v>
      </c>
      <c r="AD232" s="1" t="s">
        <v>1679</v>
      </c>
      <c r="AE232" s="1" t="s">
        <v>1630</v>
      </c>
      <c r="AF232" s="1" t="s">
        <v>1670</v>
      </c>
      <c r="AG232" s="1">
        <v>160</v>
      </c>
      <c r="AH232" s="1" t="s">
        <v>1671</v>
      </c>
      <c r="AI232" s="1" t="s">
        <v>1672</v>
      </c>
      <c r="AJ232" s="1" t="s">
        <v>1577</v>
      </c>
      <c r="AK232" s="1" t="s">
        <v>426</v>
      </c>
      <c r="AL232" s="1">
        <v>-273</v>
      </c>
      <c r="AM232" s="1" t="s">
        <v>1680</v>
      </c>
      <c r="AN232" s="1" t="s">
        <v>1673</v>
      </c>
      <c r="AO232" s="1" t="s">
        <v>480</v>
      </c>
      <c r="AP232" s="1" t="s">
        <v>113</v>
      </c>
      <c r="AQ232" s="1" t="s">
        <v>137</v>
      </c>
      <c r="AR232" s="1" t="s">
        <v>113</v>
      </c>
      <c r="AS232" s="1" t="s">
        <v>113</v>
      </c>
      <c r="AT232" s="1" t="s">
        <v>57</v>
      </c>
      <c r="AU232" s="1"/>
    </row>
    <row r="233" spans="2:47" ht="18" customHeight="1" x14ac:dyDescent="0.2">
      <c r="B233" s="14" t="s">
        <v>1660</v>
      </c>
      <c r="C233" s="1" t="s">
        <v>1661</v>
      </c>
      <c r="D233" s="22" t="s">
        <v>583</v>
      </c>
      <c r="E233" s="22" t="s">
        <v>32</v>
      </c>
      <c r="F233" s="22" t="s">
        <v>1664</v>
      </c>
      <c r="G233" s="23" t="s">
        <v>32</v>
      </c>
      <c r="H233" s="23" t="s">
        <v>32</v>
      </c>
      <c r="I233" s="23" t="s">
        <v>32</v>
      </c>
      <c r="J233" s="23" t="s">
        <v>1665</v>
      </c>
      <c r="K233" s="22" t="s">
        <v>1666</v>
      </c>
      <c r="L233" s="22" t="s">
        <v>98</v>
      </c>
      <c r="M233" s="22" t="s">
        <v>32</v>
      </c>
      <c r="N233" s="22" t="s">
        <v>32</v>
      </c>
      <c r="O233" s="23" t="s">
        <v>1667</v>
      </c>
      <c r="P233" s="23" t="s">
        <v>273</v>
      </c>
      <c r="Q233" s="22" t="s">
        <v>32</v>
      </c>
      <c r="R233" s="22" t="s">
        <v>32</v>
      </c>
      <c r="S233" s="22" t="s">
        <v>32</v>
      </c>
      <c r="T233" s="23" t="s">
        <v>468</v>
      </c>
      <c r="U233" s="22" t="s">
        <v>32</v>
      </c>
      <c r="V233" s="22" t="s">
        <v>167</v>
      </c>
      <c r="W233" s="23" t="s">
        <v>32</v>
      </c>
      <c r="X233" s="22" t="s">
        <v>1668</v>
      </c>
      <c r="Y233" s="22" t="s">
        <v>32</v>
      </c>
      <c r="Z233" s="22">
        <v>3.88</v>
      </c>
      <c r="AA233" s="22" t="s">
        <v>65</v>
      </c>
      <c r="AB233" s="1" t="s">
        <v>66</v>
      </c>
      <c r="AC233" s="1" t="s">
        <v>1681</v>
      </c>
      <c r="AD233" s="1" t="s">
        <v>1682</v>
      </c>
      <c r="AE233" s="1" t="s">
        <v>1630</v>
      </c>
      <c r="AF233" s="1" t="s">
        <v>264</v>
      </c>
      <c r="AG233" s="1">
        <v>150</v>
      </c>
      <c r="AH233" s="1" t="s">
        <v>264</v>
      </c>
      <c r="AI233" s="1" t="s">
        <v>1683</v>
      </c>
      <c r="AJ233" s="1" t="s">
        <v>1684</v>
      </c>
      <c r="AK233" s="1" t="s">
        <v>426</v>
      </c>
      <c r="AL233" s="1">
        <v>-273</v>
      </c>
      <c r="AM233" s="1" t="s">
        <v>1685</v>
      </c>
      <c r="AN233" s="1" t="s">
        <v>1673</v>
      </c>
      <c r="AO233" s="1" t="s">
        <v>480</v>
      </c>
      <c r="AP233" s="1" t="s">
        <v>113</v>
      </c>
      <c r="AQ233" s="1" t="s">
        <v>137</v>
      </c>
      <c r="AR233" s="1" t="s">
        <v>113</v>
      </c>
      <c r="AS233" s="1" t="s">
        <v>113</v>
      </c>
      <c r="AT233" s="1" t="s">
        <v>57</v>
      </c>
      <c r="AU233" s="1"/>
    </row>
    <row r="234" spans="2:47" ht="18" customHeight="1" x14ac:dyDescent="0.2">
      <c r="B234" s="14" t="s">
        <v>1660</v>
      </c>
      <c r="C234" s="1" t="s">
        <v>1661</v>
      </c>
      <c r="D234" s="22" t="s">
        <v>1260</v>
      </c>
      <c r="E234" s="22" t="s">
        <v>32</v>
      </c>
      <c r="F234" s="22" t="s">
        <v>1664</v>
      </c>
      <c r="G234" s="23" t="s">
        <v>32</v>
      </c>
      <c r="H234" s="23" t="s">
        <v>32</v>
      </c>
      <c r="I234" s="23" t="s">
        <v>32</v>
      </c>
      <c r="J234" s="23" t="s">
        <v>1665</v>
      </c>
      <c r="K234" s="22" t="s">
        <v>1666</v>
      </c>
      <c r="L234" s="22" t="s">
        <v>98</v>
      </c>
      <c r="M234" s="22" t="s">
        <v>32</v>
      </c>
      <c r="N234" s="22" t="s">
        <v>32</v>
      </c>
      <c r="O234" s="23" t="s">
        <v>1667</v>
      </c>
      <c r="P234" s="23" t="s">
        <v>273</v>
      </c>
      <c r="Q234" s="22" t="s">
        <v>32</v>
      </c>
      <c r="R234" s="22" t="s">
        <v>32</v>
      </c>
      <c r="S234" s="22" t="s">
        <v>32</v>
      </c>
      <c r="T234" s="23" t="s">
        <v>468</v>
      </c>
      <c r="U234" s="22" t="s">
        <v>32</v>
      </c>
      <c r="V234" s="22" t="s">
        <v>167</v>
      </c>
      <c r="W234" s="23" t="s">
        <v>32</v>
      </c>
      <c r="X234" s="22" t="s">
        <v>1668</v>
      </c>
      <c r="Y234" s="22" t="s">
        <v>32</v>
      </c>
      <c r="Z234" s="22">
        <v>3.88</v>
      </c>
      <c r="AA234" s="22" t="s">
        <v>65</v>
      </c>
      <c r="AB234" s="1" t="s">
        <v>1119</v>
      </c>
      <c r="AC234" s="1" t="s">
        <v>1686</v>
      </c>
      <c r="AD234" s="1" t="s">
        <v>1687</v>
      </c>
      <c r="AE234" s="1" t="s">
        <v>1688</v>
      </c>
      <c r="AF234" s="1" t="s">
        <v>1670</v>
      </c>
      <c r="AG234" s="1" t="s">
        <v>32</v>
      </c>
      <c r="AH234" s="1" t="s">
        <v>1671</v>
      </c>
      <c r="AI234" s="1" t="s">
        <v>1672</v>
      </c>
      <c r="AJ234" s="1" t="s">
        <v>1577</v>
      </c>
      <c r="AK234" s="1" t="s">
        <v>426</v>
      </c>
      <c r="AL234" s="1">
        <v>-273</v>
      </c>
      <c r="AM234" s="1" t="s">
        <v>1685</v>
      </c>
      <c r="AN234" s="1" t="s">
        <v>1673</v>
      </c>
      <c r="AO234" s="1" t="s">
        <v>480</v>
      </c>
      <c r="AP234" s="1" t="s">
        <v>113</v>
      </c>
      <c r="AQ234" s="1" t="s">
        <v>137</v>
      </c>
      <c r="AR234" s="1" t="s">
        <v>113</v>
      </c>
      <c r="AS234" s="1" t="s">
        <v>113</v>
      </c>
      <c r="AT234" s="1" t="s">
        <v>57</v>
      </c>
      <c r="AU234" s="1"/>
    </row>
    <row r="235" spans="2:47" ht="18" customHeight="1" x14ac:dyDescent="0.2">
      <c r="B235" s="14" t="s">
        <v>1660</v>
      </c>
      <c r="C235" s="1" t="s">
        <v>1661</v>
      </c>
      <c r="D235" s="22" t="s">
        <v>1583</v>
      </c>
      <c r="E235" s="22" t="s">
        <v>32</v>
      </c>
      <c r="F235" s="22" t="s">
        <v>1664</v>
      </c>
      <c r="G235" s="23" t="s">
        <v>32</v>
      </c>
      <c r="H235" s="23" t="s">
        <v>32</v>
      </c>
      <c r="I235" s="23" t="s">
        <v>32</v>
      </c>
      <c r="J235" s="23" t="s">
        <v>1665</v>
      </c>
      <c r="K235" s="22" t="s">
        <v>1666</v>
      </c>
      <c r="L235" s="22" t="s">
        <v>98</v>
      </c>
      <c r="M235" s="22" t="s">
        <v>32</v>
      </c>
      <c r="N235" s="22" t="s">
        <v>32</v>
      </c>
      <c r="O235" s="23" t="s">
        <v>1667</v>
      </c>
      <c r="P235" s="23" t="s">
        <v>273</v>
      </c>
      <c r="Q235" s="22" t="s">
        <v>32</v>
      </c>
      <c r="R235" s="22" t="s">
        <v>32</v>
      </c>
      <c r="S235" s="22" t="s">
        <v>32</v>
      </c>
      <c r="T235" s="23" t="s">
        <v>468</v>
      </c>
      <c r="U235" s="22" t="s">
        <v>32</v>
      </c>
      <c r="V235" s="22" t="s">
        <v>167</v>
      </c>
      <c r="W235" s="23" t="s">
        <v>32</v>
      </c>
      <c r="X235" s="22" t="s">
        <v>1668</v>
      </c>
      <c r="Y235" s="22" t="s">
        <v>32</v>
      </c>
      <c r="Z235" s="22">
        <v>3.88</v>
      </c>
      <c r="AA235" s="22" t="s">
        <v>65</v>
      </c>
      <c r="AB235" s="1" t="s">
        <v>1119</v>
      </c>
      <c r="AC235" s="1" t="s">
        <v>1689</v>
      </c>
      <c r="AD235" s="1" t="s">
        <v>1690</v>
      </c>
      <c r="AE235" s="1" t="s">
        <v>1542</v>
      </c>
      <c r="AF235" s="1" t="s">
        <v>286</v>
      </c>
      <c r="AG235" s="1">
        <v>140</v>
      </c>
      <c r="AH235" s="1" t="s">
        <v>335</v>
      </c>
      <c r="AI235" s="1" t="s">
        <v>1691</v>
      </c>
      <c r="AJ235" s="1" t="s">
        <v>1684</v>
      </c>
      <c r="AK235" s="1" t="s">
        <v>426</v>
      </c>
      <c r="AL235" s="1">
        <v>-273</v>
      </c>
      <c r="AM235" s="1" t="s">
        <v>680</v>
      </c>
      <c r="AN235" s="1" t="s">
        <v>1673</v>
      </c>
      <c r="AO235" s="1" t="s">
        <v>480</v>
      </c>
      <c r="AP235" s="1" t="s">
        <v>113</v>
      </c>
      <c r="AQ235" s="1" t="s">
        <v>137</v>
      </c>
      <c r="AR235" s="1" t="s">
        <v>113</v>
      </c>
      <c r="AS235" s="1" t="s">
        <v>113</v>
      </c>
      <c r="AT235" s="1" t="s">
        <v>57</v>
      </c>
      <c r="AU235" s="1"/>
    </row>
    <row r="236" spans="2:47" ht="18" customHeight="1" x14ac:dyDescent="0.2">
      <c r="B236" s="14" t="s">
        <v>1660</v>
      </c>
      <c r="C236" s="1" t="s">
        <v>1661</v>
      </c>
      <c r="D236" s="22" t="s">
        <v>1596</v>
      </c>
      <c r="E236" s="22" t="s">
        <v>32</v>
      </c>
      <c r="F236" s="22" t="s">
        <v>1664</v>
      </c>
      <c r="G236" s="23" t="s">
        <v>32</v>
      </c>
      <c r="H236" s="23" t="s">
        <v>32</v>
      </c>
      <c r="I236" s="23" t="s">
        <v>32</v>
      </c>
      <c r="J236" s="23" t="s">
        <v>1665</v>
      </c>
      <c r="K236" s="22" t="s">
        <v>1666</v>
      </c>
      <c r="L236" s="22" t="s">
        <v>98</v>
      </c>
      <c r="M236" s="22" t="s">
        <v>32</v>
      </c>
      <c r="N236" s="22" t="s">
        <v>32</v>
      </c>
      <c r="O236" s="23" t="s">
        <v>1667</v>
      </c>
      <c r="P236" s="23" t="s">
        <v>273</v>
      </c>
      <c r="Q236" s="22" t="s">
        <v>32</v>
      </c>
      <c r="R236" s="22" t="s">
        <v>32</v>
      </c>
      <c r="S236" s="22" t="s">
        <v>32</v>
      </c>
      <c r="T236" s="23" t="s">
        <v>468</v>
      </c>
      <c r="U236" s="22" t="s">
        <v>32</v>
      </c>
      <c r="V236" s="22" t="s">
        <v>167</v>
      </c>
      <c r="W236" s="23" t="s">
        <v>32</v>
      </c>
      <c r="X236" s="22" t="s">
        <v>1668</v>
      </c>
      <c r="Y236" s="22" t="s">
        <v>32</v>
      </c>
      <c r="Z236" s="22">
        <v>3.88</v>
      </c>
      <c r="AA236" s="22" t="s">
        <v>65</v>
      </c>
      <c r="AB236" s="1" t="s">
        <v>66</v>
      </c>
      <c r="AC236" s="1" t="s">
        <v>1692</v>
      </c>
      <c r="AD236" s="1" t="s">
        <v>1693</v>
      </c>
      <c r="AE236" s="1" t="s">
        <v>1694</v>
      </c>
      <c r="AF236" s="1" t="s">
        <v>376</v>
      </c>
      <c r="AG236" s="1">
        <v>140</v>
      </c>
      <c r="AH236" s="1" t="s">
        <v>335</v>
      </c>
      <c r="AI236" s="1" t="s">
        <v>1695</v>
      </c>
      <c r="AJ236" s="1" t="s">
        <v>1684</v>
      </c>
      <c r="AK236" s="1" t="s">
        <v>426</v>
      </c>
      <c r="AL236" s="1">
        <v>-273</v>
      </c>
      <c r="AM236" s="1" t="s">
        <v>680</v>
      </c>
      <c r="AN236" s="1" t="s">
        <v>1673</v>
      </c>
      <c r="AO236" s="1" t="s">
        <v>480</v>
      </c>
      <c r="AP236" s="1" t="s">
        <v>113</v>
      </c>
      <c r="AQ236" s="1" t="s">
        <v>137</v>
      </c>
      <c r="AR236" s="1" t="s">
        <v>113</v>
      </c>
      <c r="AS236" s="1" t="s">
        <v>113</v>
      </c>
      <c r="AT236" s="1" t="s">
        <v>57</v>
      </c>
      <c r="AU236" s="1"/>
    </row>
    <row r="237" spans="2:47" ht="18" customHeight="1" x14ac:dyDescent="0.2">
      <c r="B237" s="14" t="s">
        <v>1660</v>
      </c>
      <c r="C237" s="1" t="s">
        <v>1661</v>
      </c>
      <c r="D237" s="22" t="s">
        <v>1662</v>
      </c>
      <c r="E237" s="22" t="s">
        <v>32</v>
      </c>
      <c r="F237" s="22" t="s">
        <v>1664</v>
      </c>
      <c r="G237" s="23" t="s">
        <v>32</v>
      </c>
      <c r="H237" s="23" t="s">
        <v>32</v>
      </c>
      <c r="I237" s="23" t="s">
        <v>32</v>
      </c>
      <c r="J237" s="23" t="s">
        <v>1665</v>
      </c>
      <c r="K237" s="22" t="s">
        <v>1666</v>
      </c>
      <c r="L237" s="22" t="s">
        <v>98</v>
      </c>
      <c r="M237" s="22" t="s">
        <v>32</v>
      </c>
      <c r="N237" s="22" t="s">
        <v>32</v>
      </c>
      <c r="O237" s="23" t="s">
        <v>1667</v>
      </c>
      <c r="P237" s="23" t="s">
        <v>273</v>
      </c>
      <c r="Q237" s="22" t="s">
        <v>32</v>
      </c>
      <c r="R237" s="22" t="s">
        <v>32</v>
      </c>
      <c r="S237" s="22" t="s">
        <v>32</v>
      </c>
      <c r="T237" s="23" t="s">
        <v>468</v>
      </c>
      <c r="U237" s="22" t="s">
        <v>32</v>
      </c>
      <c r="V237" s="22" t="s">
        <v>167</v>
      </c>
      <c r="W237" s="23" t="s">
        <v>32</v>
      </c>
      <c r="X237" s="22" t="s">
        <v>1668</v>
      </c>
      <c r="Y237" s="22" t="s">
        <v>32</v>
      </c>
      <c r="Z237" s="22">
        <v>3.88</v>
      </c>
      <c r="AA237" s="22" t="s">
        <v>65</v>
      </c>
      <c r="AB237" s="1" t="s">
        <v>1119</v>
      </c>
      <c r="AC237" s="1" t="s">
        <v>1696</v>
      </c>
      <c r="AD237" s="1" t="s">
        <v>1697</v>
      </c>
      <c r="AE237" s="1" t="s">
        <v>1542</v>
      </c>
      <c r="AF237" s="1" t="s">
        <v>587</v>
      </c>
      <c r="AG237" s="1">
        <v>140</v>
      </c>
      <c r="AH237" s="1" t="s">
        <v>335</v>
      </c>
      <c r="AI237" s="1" t="s">
        <v>1698</v>
      </c>
      <c r="AJ237" s="1" t="s">
        <v>1684</v>
      </c>
      <c r="AK237" s="1" t="s">
        <v>426</v>
      </c>
      <c r="AL237" s="1">
        <v>-273</v>
      </c>
      <c r="AM237" s="1" t="s">
        <v>680</v>
      </c>
      <c r="AN237" s="1" t="s">
        <v>1673</v>
      </c>
      <c r="AO237" s="1" t="s">
        <v>480</v>
      </c>
      <c r="AP237" s="1" t="s">
        <v>113</v>
      </c>
      <c r="AQ237" s="1" t="s">
        <v>137</v>
      </c>
      <c r="AR237" s="1" t="s">
        <v>113</v>
      </c>
      <c r="AS237" s="1" t="s">
        <v>113</v>
      </c>
      <c r="AT237" s="1" t="s">
        <v>57</v>
      </c>
      <c r="AU237" s="1"/>
    </row>
    <row r="238" spans="2:47" ht="18" customHeight="1" x14ac:dyDescent="0.2">
      <c r="B238" s="14" t="s">
        <v>1660</v>
      </c>
      <c r="C238" s="1" t="s">
        <v>1661</v>
      </c>
      <c r="D238" s="22" t="s">
        <v>1663</v>
      </c>
      <c r="E238" s="22" t="s">
        <v>32</v>
      </c>
      <c r="F238" s="22" t="s">
        <v>1664</v>
      </c>
      <c r="G238" s="23" t="s">
        <v>32</v>
      </c>
      <c r="H238" s="23" t="s">
        <v>32</v>
      </c>
      <c r="I238" s="23" t="s">
        <v>32</v>
      </c>
      <c r="J238" s="23" t="s">
        <v>1665</v>
      </c>
      <c r="K238" s="22" t="s">
        <v>1666</v>
      </c>
      <c r="L238" s="22" t="s">
        <v>98</v>
      </c>
      <c r="M238" s="22" t="s">
        <v>32</v>
      </c>
      <c r="N238" s="22" t="s">
        <v>32</v>
      </c>
      <c r="O238" s="23" t="s">
        <v>1667</v>
      </c>
      <c r="P238" s="23" t="s">
        <v>273</v>
      </c>
      <c r="Q238" s="22" t="s">
        <v>32</v>
      </c>
      <c r="R238" s="22" t="s">
        <v>32</v>
      </c>
      <c r="S238" s="22" t="s">
        <v>32</v>
      </c>
      <c r="T238" s="23" t="s">
        <v>468</v>
      </c>
      <c r="U238" s="22" t="s">
        <v>32</v>
      </c>
      <c r="V238" s="22" t="s">
        <v>167</v>
      </c>
      <c r="W238" s="23" t="s">
        <v>32</v>
      </c>
      <c r="X238" s="22" t="s">
        <v>1668</v>
      </c>
      <c r="Y238" s="22" t="s">
        <v>32</v>
      </c>
      <c r="Z238" s="22">
        <v>3.88</v>
      </c>
      <c r="AA238" s="22" t="s">
        <v>65</v>
      </c>
      <c r="AB238" s="1" t="s">
        <v>66</v>
      </c>
      <c r="AC238" s="1" t="s">
        <v>1669</v>
      </c>
      <c r="AD238" s="1" t="s">
        <v>1541</v>
      </c>
      <c r="AE238" s="1" t="s">
        <v>1616</v>
      </c>
      <c r="AF238" s="1" t="s">
        <v>1670</v>
      </c>
      <c r="AG238" s="1">
        <v>150</v>
      </c>
      <c r="AH238" s="1" t="s">
        <v>1671</v>
      </c>
      <c r="AI238" s="1" t="s">
        <v>1672</v>
      </c>
      <c r="AJ238" s="1" t="s">
        <v>1577</v>
      </c>
      <c r="AK238" s="1" t="s">
        <v>426</v>
      </c>
      <c r="AL238" s="1">
        <v>-273</v>
      </c>
      <c r="AM238" s="1" t="s">
        <v>661</v>
      </c>
      <c r="AN238" s="1" t="s">
        <v>1673</v>
      </c>
      <c r="AO238" s="1" t="s">
        <v>480</v>
      </c>
      <c r="AP238" s="1" t="s">
        <v>113</v>
      </c>
      <c r="AQ238" s="1" t="s">
        <v>137</v>
      </c>
      <c r="AR238" s="1" t="s">
        <v>113</v>
      </c>
      <c r="AS238" s="1" t="s">
        <v>113</v>
      </c>
      <c r="AT238" s="1" t="s">
        <v>57</v>
      </c>
      <c r="AU238" s="1"/>
    </row>
    <row r="239" spans="2:47" ht="18" customHeight="1" x14ac:dyDescent="0.2">
      <c r="B239" s="14" t="s">
        <v>1660</v>
      </c>
      <c r="C239" s="1" t="s">
        <v>1661</v>
      </c>
      <c r="D239" s="22" t="s">
        <v>1556</v>
      </c>
      <c r="E239" s="22" t="s">
        <v>32</v>
      </c>
      <c r="F239" s="22" t="s">
        <v>1664</v>
      </c>
      <c r="G239" s="23" t="s">
        <v>32</v>
      </c>
      <c r="H239" s="23" t="s">
        <v>32</v>
      </c>
      <c r="I239" s="23" t="s">
        <v>32</v>
      </c>
      <c r="J239" s="23" t="s">
        <v>1665</v>
      </c>
      <c r="K239" s="22" t="s">
        <v>1666</v>
      </c>
      <c r="L239" s="22" t="s">
        <v>98</v>
      </c>
      <c r="M239" s="22" t="s">
        <v>32</v>
      </c>
      <c r="N239" s="22" t="s">
        <v>32</v>
      </c>
      <c r="O239" s="23" t="s">
        <v>1667</v>
      </c>
      <c r="P239" s="23" t="s">
        <v>273</v>
      </c>
      <c r="Q239" s="22" t="s">
        <v>32</v>
      </c>
      <c r="R239" s="22" t="s">
        <v>32</v>
      </c>
      <c r="S239" s="22" t="s">
        <v>32</v>
      </c>
      <c r="T239" s="23" t="s">
        <v>468</v>
      </c>
      <c r="U239" s="22" t="s">
        <v>32</v>
      </c>
      <c r="V239" s="22" t="s">
        <v>167</v>
      </c>
      <c r="W239" s="23" t="s">
        <v>32</v>
      </c>
      <c r="X239" s="22" t="s">
        <v>1668</v>
      </c>
      <c r="Y239" s="22" t="s">
        <v>32</v>
      </c>
      <c r="Z239" s="22">
        <v>3.88</v>
      </c>
      <c r="AA239" s="22" t="s">
        <v>65</v>
      </c>
      <c r="AB239" s="1" t="s">
        <v>66</v>
      </c>
      <c r="AC239" s="1" t="s">
        <v>68</v>
      </c>
      <c r="AD239" s="1" t="s">
        <v>1699</v>
      </c>
      <c r="AE239" s="1" t="s">
        <v>1700</v>
      </c>
      <c r="AF239" s="1" t="s">
        <v>264</v>
      </c>
      <c r="AG239" s="1">
        <v>150</v>
      </c>
      <c r="AH239" s="1" t="s">
        <v>264</v>
      </c>
      <c r="AI239" s="1" t="s">
        <v>1701</v>
      </c>
      <c r="AJ239" s="1" t="s">
        <v>1684</v>
      </c>
      <c r="AK239" s="1" t="s">
        <v>426</v>
      </c>
      <c r="AL239" s="1">
        <v>-273</v>
      </c>
      <c r="AM239" s="1" t="s">
        <v>661</v>
      </c>
      <c r="AN239" s="1" t="s">
        <v>1673</v>
      </c>
      <c r="AO239" s="1" t="s">
        <v>480</v>
      </c>
      <c r="AP239" s="1" t="s">
        <v>113</v>
      </c>
      <c r="AQ239" s="1" t="s">
        <v>137</v>
      </c>
      <c r="AR239" s="1" t="s">
        <v>113</v>
      </c>
      <c r="AS239" s="1" t="s">
        <v>113</v>
      </c>
      <c r="AT239" s="1" t="s">
        <v>57</v>
      </c>
      <c r="AU239" s="1"/>
    </row>
    <row r="240" spans="2:47" ht="18" customHeight="1" x14ac:dyDescent="0.2">
      <c r="B240" s="14" t="s">
        <v>1702</v>
      </c>
      <c r="C240" s="1" t="s">
        <v>1703</v>
      </c>
      <c r="D240" s="22" t="s">
        <v>1583</v>
      </c>
      <c r="E240" s="22" t="s">
        <v>32</v>
      </c>
      <c r="F240" s="22" t="s">
        <v>1704</v>
      </c>
      <c r="G240" s="23" t="s">
        <v>32</v>
      </c>
      <c r="H240" s="23" t="s">
        <v>32</v>
      </c>
      <c r="I240" s="23" t="s">
        <v>32</v>
      </c>
      <c r="J240" s="23" t="s">
        <v>1585</v>
      </c>
      <c r="K240" s="22" t="s">
        <v>1587</v>
      </c>
      <c r="L240" s="22" t="s">
        <v>167</v>
      </c>
      <c r="M240" s="22" t="s">
        <v>32</v>
      </c>
      <c r="N240" s="22" t="s">
        <v>32</v>
      </c>
      <c r="O240" s="23" t="s">
        <v>1586</v>
      </c>
      <c r="P240" s="23" t="s">
        <v>167</v>
      </c>
      <c r="Q240" s="22" t="s">
        <v>32</v>
      </c>
      <c r="R240" s="22" t="s">
        <v>32</v>
      </c>
      <c r="S240" s="22" t="s">
        <v>32</v>
      </c>
      <c r="T240" s="23" t="s">
        <v>226</v>
      </c>
      <c r="U240" s="22" t="s">
        <v>32</v>
      </c>
      <c r="V240" s="22" t="s">
        <v>59</v>
      </c>
      <c r="W240" s="23" t="s">
        <v>32</v>
      </c>
      <c r="X240" s="22" t="s">
        <v>1588</v>
      </c>
      <c r="Y240" s="22" t="s">
        <v>32</v>
      </c>
      <c r="Z240" s="22">
        <v>3.47</v>
      </c>
      <c r="AA240" s="22" t="s">
        <v>750</v>
      </c>
      <c r="AB240" s="1" t="s">
        <v>362</v>
      </c>
      <c r="AC240" s="1" t="s">
        <v>1589</v>
      </c>
      <c r="AD240" s="1" t="s">
        <v>1590</v>
      </c>
      <c r="AE240" s="1" t="s">
        <v>1535</v>
      </c>
      <c r="AF240" s="1" t="s">
        <v>1705</v>
      </c>
      <c r="AG240" s="1" t="s">
        <v>32</v>
      </c>
      <c r="AH240" s="1" t="s">
        <v>1706</v>
      </c>
      <c r="AI240" s="1" t="s">
        <v>1069</v>
      </c>
      <c r="AJ240" s="1" t="s">
        <v>1538</v>
      </c>
      <c r="AK240" s="1" t="s">
        <v>426</v>
      </c>
      <c r="AL240" s="1">
        <v>-273</v>
      </c>
      <c r="AM240" s="1" t="s">
        <v>1594</v>
      </c>
      <c r="AN240" s="1" t="s">
        <v>1595</v>
      </c>
      <c r="AO240" s="1" t="s">
        <v>497</v>
      </c>
      <c r="AP240" s="1" t="s">
        <v>78</v>
      </c>
      <c r="AQ240" s="1" t="s">
        <v>78</v>
      </c>
      <c r="AR240" s="1" t="s">
        <v>113</v>
      </c>
      <c r="AS240" s="1" t="s">
        <v>78</v>
      </c>
      <c r="AT240" s="1" t="s">
        <v>57</v>
      </c>
      <c r="AU240" s="1"/>
    </row>
    <row r="241" spans="2:47" ht="18" customHeight="1" x14ac:dyDescent="0.2">
      <c r="B241" s="14" t="s">
        <v>1702</v>
      </c>
      <c r="C241" s="1" t="s">
        <v>1703</v>
      </c>
      <c r="D241" s="22" t="s">
        <v>1597</v>
      </c>
      <c r="E241" s="22" t="s">
        <v>32</v>
      </c>
      <c r="F241" s="22" t="s">
        <v>1704</v>
      </c>
      <c r="G241" s="23" t="s">
        <v>32</v>
      </c>
      <c r="H241" s="23" t="s">
        <v>32</v>
      </c>
      <c r="I241" s="23" t="s">
        <v>32</v>
      </c>
      <c r="J241" s="23" t="s">
        <v>1585</v>
      </c>
      <c r="K241" s="22" t="s">
        <v>1587</v>
      </c>
      <c r="L241" s="22" t="s">
        <v>167</v>
      </c>
      <c r="M241" s="22" t="s">
        <v>32</v>
      </c>
      <c r="N241" s="22" t="s">
        <v>32</v>
      </c>
      <c r="O241" s="23" t="s">
        <v>1586</v>
      </c>
      <c r="P241" s="23" t="s">
        <v>167</v>
      </c>
      <c r="Q241" s="22" t="s">
        <v>32</v>
      </c>
      <c r="R241" s="22" t="s">
        <v>32</v>
      </c>
      <c r="S241" s="22" t="s">
        <v>32</v>
      </c>
      <c r="T241" s="23" t="s">
        <v>226</v>
      </c>
      <c r="U241" s="22" t="s">
        <v>32</v>
      </c>
      <c r="V241" s="22" t="s">
        <v>59</v>
      </c>
      <c r="W241" s="23" t="s">
        <v>32</v>
      </c>
      <c r="X241" s="22" t="s">
        <v>1588</v>
      </c>
      <c r="Y241" s="22" t="s">
        <v>32</v>
      </c>
      <c r="Z241" s="22">
        <v>3.47</v>
      </c>
      <c r="AA241" s="22" t="s">
        <v>750</v>
      </c>
      <c r="AB241" s="1" t="s">
        <v>240</v>
      </c>
      <c r="AC241" s="1" t="s">
        <v>1032</v>
      </c>
      <c r="AD241" s="1" t="s">
        <v>1602</v>
      </c>
      <c r="AE241" s="1" t="s">
        <v>1603</v>
      </c>
      <c r="AF241" s="1" t="s">
        <v>1705</v>
      </c>
      <c r="AG241" s="1" t="s">
        <v>32</v>
      </c>
      <c r="AH241" s="1" t="s">
        <v>1706</v>
      </c>
      <c r="AI241" s="1" t="s">
        <v>1707</v>
      </c>
      <c r="AJ241" s="1" t="s">
        <v>1538</v>
      </c>
      <c r="AK241" s="1" t="s">
        <v>426</v>
      </c>
      <c r="AL241" s="1">
        <v>-273</v>
      </c>
      <c r="AM241" s="1" t="s">
        <v>1594</v>
      </c>
      <c r="AN241" s="1" t="s">
        <v>180</v>
      </c>
      <c r="AO241" s="1" t="s">
        <v>497</v>
      </c>
      <c r="AP241" s="1" t="s">
        <v>78</v>
      </c>
      <c r="AQ241" s="1" t="s">
        <v>78</v>
      </c>
      <c r="AR241" s="1" t="s">
        <v>113</v>
      </c>
      <c r="AS241" s="1" t="s">
        <v>78</v>
      </c>
      <c r="AT241" s="1" t="s">
        <v>57</v>
      </c>
      <c r="AU241" s="1"/>
    </row>
    <row r="242" spans="2:47" ht="18" customHeight="1" x14ac:dyDescent="0.2">
      <c r="B242" s="14" t="s">
        <v>1708</v>
      </c>
      <c r="C242" s="1" t="s">
        <v>1709</v>
      </c>
      <c r="D242" s="22" t="s">
        <v>1710</v>
      </c>
      <c r="E242" s="22" t="s">
        <v>32</v>
      </c>
      <c r="F242" s="22" t="s">
        <v>1712</v>
      </c>
      <c r="G242" s="23" t="s">
        <v>32</v>
      </c>
      <c r="H242" s="23" t="s">
        <v>32</v>
      </c>
      <c r="I242" s="23" t="s">
        <v>32</v>
      </c>
      <c r="J242" s="23" t="s">
        <v>1565</v>
      </c>
      <c r="K242" s="22" t="s">
        <v>1713</v>
      </c>
      <c r="L242" s="22" t="s">
        <v>226</v>
      </c>
      <c r="M242" s="22" t="s">
        <v>32</v>
      </c>
      <c r="N242" s="22" t="s">
        <v>32</v>
      </c>
      <c r="O242" s="23" t="s">
        <v>1714</v>
      </c>
      <c r="P242" s="23" t="s">
        <v>59</v>
      </c>
      <c r="Q242" s="22" t="s">
        <v>32</v>
      </c>
      <c r="R242" s="22" t="s">
        <v>32</v>
      </c>
      <c r="S242" s="22" t="s">
        <v>32</v>
      </c>
      <c r="T242" s="23" t="s">
        <v>226</v>
      </c>
      <c r="U242" s="22" t="s">
        <v>32</v>
      </c>
      <c r="V242" s="22" t="s">
        <v>689</v>
      </c>
      <c r="W242" s="23" t="s">
        <v>32</v>
      </c>
      <c r="X242" s="22" t="s">
        <v>1715</v>
      </c>
      <c r="Y242" s="22" t="s">
        <v>722</v>
      </c>
      <c r="Z242" s="22">
        <v>2.99</v>
      </c>
      <c r="AA242" s="22" t="s">
        <v>815</v>
      </c>
      <c r="AB242" s="1" t="s">
        <v>362</v>
      </c>
      <c r="AC242" s="1" t="s">
        <v>1716</v>
      </c>
      <c r="AD242" s="1" t="s">
        <v>1717</v>
      </c>
      <c r="AE242" s="1" t="s">
        <v>1718</v>
      </c>
      <c r="AF242" s="1" t="s">
        <v>1705</v>
      </c>
      <c r="AG242" s="1" t="s">
        <v>32</v>
      </c>
      <c r="AH242" s="1" t="s">
        <v>1706</v>
      </c>
      <c r="AI242" s="1" t="s">
        <v>1069</v>
      </c>
      <c r="AJ242" s="1" t="s">
        <v>1538</v>
      </c>
      <c r="AK242" s="1" t="s">
        <v>426</v>
      </c>
      <c r="AL242" s="1">
        <v>-273</v>
      </c>
      <c r="AM242" s="1" t="s">
        <v>315</v>
      </c>
      <c r="AN242" s="1" t="s">
        <v>734</v>
      </c>
      <c r="AO242" s="1" t="s">
        <v>437</v>
      </c>
      <c r="AP242" s="1" t="s">
        <v>78</v>
      </c>
      <c r="AQ242" s="1" t="s">
        <v>78</v>
      </c>
      <c r="AR242" s="1" t="s">
        <v>113</v>
      </c>
      <c r="AS242" s="1" t="s">
        <v>78</v>
      </c>
      <c r="AT242" s="1" t="s">
        <v>57</v>
      </c>
      <c r="AU242" s="1"/>
    </row>
    <row r="243" spans="2:47" ht="18" customHeight="1" x14ac:dyDescent="0.2">
      <c r="B243" s="14" t="s">
        <v>1708</v>
      </c>
      <c r="C243" s="1" t="s">
        <v>1709</v>
      </c>
      <c r="D243" s="22" t="s">
        <v>1711</v>
      </c>
      <c r="E243" s="22" t="s">
        <v>32</v>
      </c>
      <c r="F243" s="22" t="s">
        <v>1712</v>
      </c>
      <c r="G243" s="23" t="s">
        <v>32</v>
      </c>
      <c r="H243" s="23" t="s">
        <v>32</v>
      </c>
      <c r="I243" s="23" t="s">
        <v>32</v>
      </c>
      <c r="J243" s="23" t="s">
        <v>1565</v>
      </c>
      <c r="K243" s="22" t="s">
        <v>1713</v>
      </c>
      <c r="L243" s="22" t="s">
        <v>226</v>
      </c>
      <c r="M243" s="22" t="s">
        <v>32</v>
      </c>
      <c r="N243" s="22" t="s">
        <v>32</v>
      </c>
      <c r="O243" s="23" t="s">
        <v>1714</v>
      </c>
      <c r="P243" s="23" t="s">
        <v>59</v>
      </c>
      <c r="Q243" s="22" t="s">
        <v>32</v>
      </c>
      <c r="R243" s="22" t="s">
        <v>32</v>
      </c>
      <c r="S243" s="22" t="s">
        <v>32</v>
      </c>
      <c r="T243" s="23" t="s">
        <v>226</v>
      </c>
      <c r="U243" s="22" t="s">
        <v>32</v>
      </c>
      <c r="V243" s="22" t="s">
        <v>689</v>
      </c>
      <c r="W243" s="23" t="s">
        <v>32</v>
      </c>
      <c r="X243" s="22" t="s">
        <v>1715</v>
      </c>
      <c r="Y243" s="22" t="s">
        <v>722</v>
      </c>
      <c r="Z243" s="22">
        <v>2.99</v>
      </c>
      <c r="AA243" s="22" t="s">
        <v>815</v>
      </c>
      <c r="AB243" s="1" t="s">
        <v>240</v>
      </c>
      <c r="AC243" s="1" t="s">
        <v>1719</v>
      </c>
      <c r="AD243" s="1" t="s">
        <v>1720</v>
      </c>
      <c r="AE243" s="1" t="s">
        <v>1616</v>
      </c>
      <c r="AF243" s="1" t="s">
        <v>1705</v>
      </c>
      <c r="AG243" s="1" t="s">
        <v>32</v>
      </c>
      <c r="AH243" s="1" t="s">
        <v>1706</v>
      </c>
      <c r="AI243" s="1" t="s">
        <v>1069</v>
      </c>
      <c r="AJ243" s="1" t="s">
        <v>1538</v>
      </c>
      <c r="AK243" s="1" t="s">
        <v>426</v>
      </c>
      <c r="AL243" s="1">
        <v>-273</v>
      </c>
      <c r="AM243" s="1" t="s">
        <v>315</v>
      </c>
      <c r="AN243" s="1" t="s">
        <v>734</v>
      </c>
      <c r="AO243" s="1" t="s">
        <v>437</v>
      </c>
      <c r="AP243" s="1" t="s">
        <v>78</v>
      </c>
      <c r="AQ243" s="1" t="s">
        <v>78</v>
      </c>
      <c r="AR243" s="1" t="s">
        <v>113</v>
      </c>
      <c r="AS243" s="1" t="s">
        <v>78</v>
      </c>
      <c r="AT243" s="1" t="s">
        <v>57</v>
      </c>
      <c r="AU243" s="1"/>
    </row>
    <row r="244" spans="2:47" ht="18" customHeight="1" x14ac:dyDescent="0.2">
      <c r="B244" s="14" t="s">
        <v>1708</v>
      </c>
      <c r="C244" s="1" t="s">
        <v>1709</v>
      </c>
      <c r="D244" s="22" t="s">
        <v>1640</v>
      </c>
      <c r="E244" s="22" t="s">
        <v>32</v>
      </c>
      <c r="F244" s="22" t="s">
        <v>1712</v>
      </c>
      <c r="G244" s="23" t="s">
        <v>32</v>
      </c>
      <c r="H244" s="23" t="s">
        <v>32</v>
      </c>
      <c r="I244" s="23" t="s">
        <v>32</v>
      </c>
      <c r="J244" s="23" t="s">
        <v>1565</v>
      </c>
      <c r="K244" s="22" t="s">
        <v>1713</v>
      </c>
      <c r="L244" s="22" t="s">
        <v>226</v>
      </c>
      <c r="M244" s="22" t="s">
        <v>32</v>
      </c>
      <c r="N244" s="22" t="s">
        <v>32</v>
      </c>
      <c r="O244" s="23" t="s">
        <v>1714</v>
      </c>
      <c r="P244" s="23" t="s">
        <v>59</v>
      </c>
      <c r="Q244" s="22" t="s">
        <v>32</v>
      </c>
      <c r="R244" s="22" t="s">
        <v>32</v>
      </c>
      <c r="S244" s="22" t="s">
        <v>32</v>
      </c>
      <c r="T244" s="23" t="s">
        <v>226</v>
      </c>
      <c r="U244" s="22" t="s">
        <v>32</v>
      </c>
      <c r="V244" s="22" t="s">
        <v>689</v>
      </c>
      <c r="W244" s="23" t="s">
        <v>32</v>
      </c>
      <c r="X244" s="22" t="s">
        <v>1715</v>
      </c>
      <c r="Y244" s="22" t="s">
        <v>722</v>
      </c>
      <c r="Z244" s="22">
        <v>2.99</v>
      </c>
      <c r="AA244" s="22" t="s">
        <v>815</v>
      </c>
      <c r="AB244" s="1" t="s">
        <v>66</v>
      </c>
      <c r="AC244" s="1" t="s">
        <v>1721</v>
      </c>
      <c r="AD244" s="1" t="s">
        <v>1722</v>
      </c>
      <c r="AE244" s="1" t="s">
        <v>578</v>
      </c>
      <c r="AF244" s="1" t="s">
        <v>1705</v>
      </c>
      <c r="AG244" s="1" t="s">
        <v>32</v>
      </c>
      <c r="AH244" s="1" t="s">
        <v>1706</v>
      </c>
      <c r="AI244" s="1" t="s">
        <v>1069</v>
      </c>
      <c r="AJ244" s="1" t="s">
        <v>1538</v>
      </c>
      <c r="AK244" s="1" t="s">
        <v>426</v>
      </c>
      <c r="AL244" s="1">
        <v>-273</v>
      </c>
      <c r="AM244" s="1" t="s">
        <v>315</v>
      </c>
      <c r="AN244" s="1" t="s">
        <v>734</v>
      </c>
      <c r="AO244" s="1" t="s">
        <v>437</v>
      </c>
      <c r="AP244" s="1" t="s">
        <v>78</v>
      </c>
      <c r="AQ244" s="1" t="s">
        <v>78</v>
      </c>
      <c r="AR244" s="1" t="s">
        <v>113</v>
      </c>
      <c r="AS244" s="1" t="s">
        <v>78</v>
      </c>
      <c r="AT244" s="1" t="s">
        <v>57</v>
      </c>
      <c r="AU244" s="1"/>
    </row>
    <row r="245" spans="2:47" ht="18" customHeight="1" x14ac:dyDescent="0.2">
      <c r="B245" s="14" t="s">
        <v>1708</v>
      </c>
      <c r="C245" s="1" t="s">
        <v>1709</v>
      </c>
      <c r="D245" s="22" t="s">
        <v>1641</v>
      </c>
      <c r="E245" s="22" t="s">
        <v>32</v>
      </c>
      <c r="F245" s="22" t="s">
        <v>1712</v>
      </c>
      <c r="G245" s="23" t="s">
        <v>32</v>
      </c>
      <c r="H245" s="23" t="s">
        <v>32</v>
      </c>
      <c r="I245" s="23" t="s">
        <v>32</v>
      </c>
      <c r="J245" s="23" t="s">
        <v>1565</v>
      </c>
      <c r="K245" s="22" t="s">
        <v>1713</v>
      </c>
      <c r="L245" s="22" t="s">
        <v>226</v>
      </c>
      <c r="M245" s="22" t="s">
        <v>32</v>
      </c>
      <c r="N245" s="22" t="s">
        <v>32</v>
      </c>
      <c r="O245" s="23" t="s">
        <v>1714</v>
      </c>
      <c r="P245" s="23" t="s">
        <v>59</v>
      </c>
      <c r="Q245" s="22" t="s">
        <v>32</v>
      </c>
      <c r="R245" s="22" t="s">
        <v>32</v>
      </c>
      <c r="S245" s="22" t="s">
        <v>32</v>
      </c>
      <c r="T245" s="23" t="s">
        <v>226</v>
      </c>
      <c r="U245" s="22" t="s">
        <v>32</v>
      </c>
      <c r="V245" s="22" t="s">
        <v>689</v>
      </c>
      <c r="W245" s="23" t="s">
        <v>32</v>
      </c>
      <c r="X245" s="22" t="s">
        <v>1715</v>
      </c>
      <c r="Y245" s="22" t="s">
        <v>722</v>
      </c>
      <c r="Z245" s="22">
        <v>2.99</v>
      </c>
      <c r="AA245" s="22" t="s">
        <v>815</v>
      </c>
      <c r="AB245" s="1" t="s">
        <v>240</v>
      </c>
      <c r="AC245" s="1" t="s">
        <v>1716</v>
      </c>
      <c r="AD245" s="1" t="s">
        <v>1723</v>
      </c>
      <c r="AE245" s="1" t="s">
        <v>1025</v>
      </c>
      <c r="AF245" s="1" t="s">
        <v>1705</v>
      </c>
      <c r="AG245" s="1" t="s">
        <v>32</v>
      </c>
      <c r="AH245" s="1" t="s">
        <v>1706</v>
      </c>
      <c r="AI245" s="1" t="s">
        <v>1069</v>
      </c>
      <c r="AJ245" s="1" t="s">
        <v>1538</v>
      </c>
      <c r="AK245" s="1" t="s">
        <v>426</v>
      </c>
      <c r="AL245" s="1">
        <v>-273</v>
      </c>
      <c r="AM245" s="1" t="s">
        <v>315</v>
      </c>
      <c r="AN245" s="1" t="s">
        <v>734</v>
      </c>
      <c r="AO245" s="1" t="s">
        <v>437</v>
      </c>
      <c r="AP245" s="1" t="s">
        <v>78</v>
      </c>
      <c r="AQ245" s="1" t="s">
        <v>78</v>
      </c>
      <c r="AR245" s="1" t="s">
        <v>113</v>
      </c>
      <c r="AS245" s="1" t="s">
        <v>78</v>
      </c>
      <c r="AT245" s="1" t="s">
        <v>57</v>
      </c>
      <c r="AU245" s="1"/>
    </row>
    <row r="246" spans="2:47" ht="18" customHeight="1" x14ac:dyDescent="0.2">
      <c r="B246" s="14" t="s">
        <v>1724</v>
      </c>
      <c r="C246" s="14" t="s">
        <v>1726</v>
      </c>
      <c r="D246" s="22" t="s">
        <v>1725</v>
      </c>
      <c r="E246" s="22" t="s">
        <v>32</v>
      </c>
      <c r="F246" s="22" t="s">
        <v>1727</v>
      </c>
      <c r="G246" s="23" t="s">
        <v>32</v>
      </c>
      <c r="H246" s="23" t="s">
        <v>32</v>
      </c>
      <c r="I246" s="25" t="s">
        <v>32</v>
      </c>
      <c r="J246" s="23" t="s">
        <v>1665</v>
      </c>
      <c r="K246" s="22" t="s">
        <v>1666</v>
      </c>
      <c r="L246" s="22" t="s">
        <v>167</v>
      </c>
      <c r="M246" s="22" t="s">
        <v>32</v>
      </c>
      <c r="N246" s="22" t="s">
        <v>32</v>
      </c>
      <c r="O246" s="23" t="s">
        <v>1667</v>
      </c>
      <c r="P246" s="23" t="s">
        <v>59</v>
      </c>
      <c r="Q246" s="22" t="s">
        <v>32</v>
      </c>
      <c r="R246" s="22" t="s">
        <v>32</v>
      </c>
      <c r="S246" s="22" t="s">
        <v>32</v>
      </c>
      <c r="T246" s="23" t="s">
        <v>226</v>
      </c>
      <c r="U246" s="22" t="s">
        <v>32</v>
      </c>
      <c r="V246" s="22" t="s">
        <v>59</v>
      </c>
      <c r="W246" s="23" t="s">
        <v>32</v>
      </c>
      <c r="X246" s="22" t="s">
        <v>1668</v>
      </c>
      <c r="Y246" s="22" t="s">
        <v>32</v>
      </c>
      <c r="Z246" s="22">
        <v>3.43</v>
      </c>
      <c r="AA246" s="22" t="s">
        <v>65</v>
      </c>
      <c r="AB246" s="1" t="s">
        <v>362</v>
      </c>
      <c r="AC246" s="1" t="s">
        <v>1541</v>
      </c>
      <c r="AD246" s="1" t="s">
        <v>1729</v>
      </c>
      <c r="AE246" s="1" t="s">
        <v>1728</v>
      </c>
      <c r="AF246" s="1" t="s">
        <v>1705</v>
      </c>
      <c r="AG246" s="1" t="s">
        <v>32</v>
      </c>
      <c r="AH246" s="1" t="s">
        <v>1730</v>
      </c>
      <c r="AI246" s="1" t="s">
        <v>1731</v>
      </c>
      <c r="AJ246" s="1" t="s">
        <v>1732</v>
      </c>
      <c r="AK246" s="1" t="s">
        <v>426</v>
      </c>
      <c r="AL246" s="1">
        <v>-273</v>
      </c>
      <c r="AM246" s="1" t="s">
        <v>1685</v>
      </c>
      <c r="AN246" s="1" t="s">
        <v>180</v>
      </c>
      <c r="AO246" s="1" t="s">
        <v>631</v>
      </c>
      <c r="AP246" s="1" t="s">
        <v>113</v>
      </c>
      <c r="AQ246" s="1" t="s">
        <v>113</v>
      </c>
      <c r="AR246" s="1" t="s">
        <v>113</v>
      </c>
      <c r="AS246" s="1" t="s">
        <v>78</v>
      </c>
      <c r="AT246" s="1" t="s">
        <v>57</v>
      </c>
      <c r="AU246" s="1"/>
    </row>
    <row r="247" spans="2:47" ht="18" customHeight="1" x14ac:dyDescent="0.2">
      <c r="B247" s="14" t="s">
        <v>1724</v>
      </c>
      <c r="C247" s="14" t="s">
        <v>1726</v>
      </c>
      <c r="D247" s="22" t="s">
        <v>1597</v>
      </c>
      <c r="E247" s="22" t="s">
        <v>32</v>
      </c>
      <c r="F247" s="22" t="s">
        <v>1727</v>
      </c>
      <c r="G247" s="23" t="s">
        <v>32</v>
      </c>
      <c r="H247" s="23" t="s">
        <v>32</v>
      </c>
      <c r="I247" s="25" t="s">
        <v>32</v>
      </c>
      <c r="J247" s="23" t="s">
        <v>1665</v>
      </c>
      <c r="K247" s="22" t="s">
        <v>1666</v>
      </c>
      <c r="L247" s="22" t="s">
        <v>167</v>
      </c>
      <c r="M247" s="22" t="s">
        <v>32</v>
      </c>
      <c r="N247" s="22" t="s">
        <v>32</v>
      </c>
      <c r="O247" s="23" t="s">
        <v>1667</v>
      </c>
      <c r="P247" s="23" t="s">
        <v>59</v>
      </c>
      <c r="Q247" s="22" t="s">
        <v>32</v>
      </c>
      <c r="R247" s="22" t="s">
        <v>32</v>
      </c>
      <c r="S247" s="22" t="s">
        <v>32</v>
      </c>
      <c r="T247" s="23" t="s">
        <v>226</v>
      </c>
      <c r="U247" s="22" t="s">
        <v>32</v>
      </c>
      <c r="V247" s="22" t="s">
        <v>59</v>
      </c>
      <c r="W247" s="23" t="s">
        <v>32</v>
      </c>
      <c r="X247" s="22" t="s">
        <v>1668</v>
      </c>
      <c r="Y247" s="22" t="s">
        <v>32</v>
      </c>
      <c r="Z247" s="22">
        <v>3.43</v>
      </c>
      <c r="AA247" s="22" t="s">
        <v>65</v>
      </c>
      <c r="AB247" s="1" t="s">
        <v>362</v>
      </c>
      <c r="AC247" s="1" t="s">
        <v>1733</v>
      </c>
      <c r="AD247" s="1" t="s">
        <v>674</v>
      </c>
      <c r="AE247" s="1" t="s">
        <v>1734</v>
      </c>
      <c r="AF247" s="1" t="s">
        <v>1735</v>
      </c>
      <c r="AG247" s="1" t="s">
        <v>32</v>
      </c>
      <c r="AH247" s="1" t="s">
        <v>1730</v>
      </c>
      <c r="AI247" s="1" t="s">
        <v>1736</v>
      </c>
      <c r="AJ247" s="1" t="s">
        <v>1732</v>
      </c>
      <c r="AK247" s="1" t="s">
        <v>426</v>
      </c>
      <c r="AL247" s="1">
        <v>-273</v>
      </c>
      <c r="AM247" s="1" t="s">
        <v>759</v>
      </c>
      <c r="AN247" s="1" t="s">
        <v>180</v>
      </c>
      <c r="AO247" s="1" t="s">
        <v>631</v>
      </c>
      <c r="AP247" s="1" t="s">
        <v>113</v>
      </c>
      <c r="AQ247" s="1" t="s">
        <v>113</v>
      </c>
      <c r="AR247" s="1" t="s">
        <v>113</v>
      </c>
      <c r="AS247" s="1" t="s">
        <v>78</v>
      </c>
      <c r="AT247" s="1" t="s">
        <v>57</v>
      </c>
      <c r="AU247" s="1"/>
    </row>
    <row r="248" spans="2:47" ht="18" customHeight="1" x14ac:dyDescent="0.2">
      <c r="B248" s="14" t="s">
        <v>1724</v>
      </c>
      <c r="C248" s="14" t="s">
        <v>1726</v>
      </c>
      <c r="D248" s="22" t="s">
        <v>1606</v>
      </c>
      <c r="E248" s="22" t="s">
        <v>32</v>
      </c>
      <c r="F248" s="22" t="s">
        <v>1727</v>
      </c>
      <c r="G248" s="23" t="s">
        <v>32</v>
      </c>
      <c r="H248" s="23" t="s">
        <v>32</v>
      </c>
      <c r="I248" s="25" t="s">
        <v>32</v>
      </c>
      <c r="J248" s="23" t="s">
        <v>1665</v>
      </c>
      <c r="K248" s="22" t="s">
        <v>1666</v>
      </c>
      <c r="L248" s="22" t="s">
        <v>167</v>
      </c>
      <c r="M248" s="22" t="s">
        <v>32</v>
      </c>
      <c r="N248" s="22" t="s">
        <v>32</v>
      </c>
      <c r="O248" s="23" t="s">
        <v>1667</v>
      </c>
      <c r="P248" s="23" t="s">
        <v>59</v>
      </c>
      <c r="Q248" s="22" t="s">
        <v>32</v>
      </c>
      <c r="R248" s="22" t="s">
        <v>32</v>
      </c>
      <c r="S248" s="22" t="s">
        <v>32</v>
      </c>
      <c r="T248" s="23" t="s">
        <v>226</v>
      </c>
      <c r="U248" s="22" t="s">
        <v>32</v>
      </c>
      <c r="V248" s="22" t="s">
        <v>59</v>
      </c>
      <c r="W248" s="23" t="s">
        <v>32</v>
      </c>
      <c r="X248" s="22" t="s">
        <v>1668</v>
      </c>
      <c r="Y248" s="22" t="s">
        <v>32</v>
      </c>
      <c r="Z248" s="22">
        <v>3.43</v>
      </c>
      <c r="AA248" s="22" t="s">
        <v>65</v>
      </c>
      <c r="AB248" s="1" t="s">
        <v>362</v>
      </c>
      <c r="AC248" s="1" t="s">
        <v>1737</v>
      </c>
      <c r="AD248" s="1" t="s">
        <v>1738</v>
      </c>
      <c r="AE248" s="1" t="s">
        <v>1739</v>
      </c>
      <c r="AF248" s="1" t="s">
        <v>1735</v>
      </c>
      <c r="AG248" s="1">
        <v>140</v>
      </c>
      <c r="AH248" s="1" t="s">
        <v>1730</v>
      </c>
      <c r="AI248" s="1" t="s">
        <v>1740</v>
      </c>
      <c r="AJ248" s="1" t="s">
        <v>1732</v>
      </c>
      <c r="AK248" s="1" t="s">
        <v>426</v>
      </c>
      <c r="AL248" s="1">
        <v>-273</v>
      </c>
      <c r="AM248" s="1" t="s">
        <v>680</v>
      </c>
      <c r="AN248" s="1" t="s">
        <v>180</v>
      </c>
      <c r="AO248" s="1" t="s">
        <v>631</v>
      </c>
      <c r="AP248" s="1" t="s">
        <v>113</v>
      </c>
      <c r="AQ248" s="1" t="s">
        <v>113</v>
      </c>
      <c r="AR248" s="1" t="s">
        <v>113</v>
      </c>
      <c r="AS248" s="1" t="s">
        <v>78</v>
      </c>
      <c r="AT248" s="1" t="s">
        <v>57</v>
      </c>
      <c r="AU248" s="1"/>
    </row>
    <row r="249" spans="2:47" ht="18" customHeight="1" x14ac:dyDescent="0.2">
      <c r="B249" s="14" t="s">
        <v>1724</v>
      </c>
      <c r="C249" s="14" t="s">
        <v>1726</v>
      </c>
      <c r="D249" s="22" t="s">
        <v>1608</v>
      </c>
      <c r="E249" s="22" t="s">
        <v>32</v>
      </c>
      <c r="F249" s="22" t="s">
        <v>1727</v>
      </c>
      <c r="G249" s="23" t="s">
        <v>32</v>
      </c>
      <c r="H249" s="23" t="s">
        <v>32</v>
      </c>
      <c r="I249" s="25" t="s">
        <v>32</v>
      </c>
      <c r="J249" s="23" t="s">
        <v>1665</v>
      </c>
      <c r="K249" s="22" t="s">
        <v>1666</v>
      </c>
      <c r="L249" s="22" t="s">
        <v>167</v>
      </c>
      <c r="M249" s="22" t="s">
        <v>32</v>
      </c>
      <c r="N249" s="22" t="s">
        <v>32</v>
      </c>
      <c r="O249" s="23" t="s">
        <v>1667</v>
      </c>
      <c r="P249" s="23" t="s">
        <v>59</v>
      </c>
      <c r="Q249" s="22" t="s">
        <v>32</v>
      </c>
      <c r="R249" s="22" t="s">
        <v>32</v>
      </c>
      <c r="S249" s="22" t="s">
        <v>32</v>
      </c>
      <c r="T249" s="23" t="s">
        <v>226</v>
      </c>
      <c r="U249" s="22" t="s">
        <v>32</v>
      </c>
      <c r="V249" s="22" t="s">
        <v>59</v>
      </c>
      <c r="W249" s="23" t="s">
        <v>32</v>
      </c>
      <c r="X249" s="22" t="s">
        <v>1668</v>
      </c>
      <c r="Y249" s="22" t="s">
        <v>32</v>
      </c>
      <c r="Z249" s="22">
        <v>3.43</v>
      </c>
      <c r="AA249" s="22" t="s">
        <v>65</v>
      </c>
      <c r="AB249" s="1" t="s">
        <v>362</v>
      </c>
      <c r="AC249" s="1" t="s">
        <v>1741</v>
      </c>
      <c r="AD249" s="1" t="s">
        <v>1742</v>
      </c>
      <c r="AE249" s="1" t="s">
        <v>1739</v>
      </c>
      <c r="AF249" s="1" t="s">
        <v>1735</v>
      </c>
      <c r="AG249" s="1" t="s">
        <v>32</v>
      </c>
      <c r="AH249" s="1" t="s">
        <v>1730</v>
      </c>
      <c r="AI249" s="1" t="s">
        <v>1743</v>
      </c>
      <c r="AJ249" s="1" t="s">
        <v>1732</v>
      </c>
      <c r="AK249" s="1" t="s">
        <v>426</v>
      </c>
      <c r="AL249" s="1">
        <v>-273</v>
      </c>
      <c r="AM249" s="1" t="s">
        <v>680</v>
      </c>
      <c r="AN249" s="1" t="s">
        <v>180</v>
      </c>
      <c r="AO249" s="1" t="s">
        <v>631</v>
      </c>
      <c r="AP249" s="1" t="s">
        <v>113</v>
      </c>
      <c r="AQ249" s="1" t="s">
        <v>113</v>
      </c>
      <c r="AR249" s="1" t="s">
        <v>113</v>
      </c>
      <c r="AS249" s="1" t="s">
        <v>78</v>
      </c>
      <c r="AT249" s="1" t="s">
        <v>57</v>
      </c>
      <c r="AU249" s="1"/>
    </row>
    <row r="250" spans="2:47" ht="18" customHeight="1" x14ac:dyDescent="0.2">
      <c r="B250" s="14" t="s">
        <v>1744</v>
      </c>
      <c r="C250" s="1" t="s">
        <v>1745</v>
      </c>
      <c r="D250" s="22" t="s">
        <v>1608</v>
      </c>
      <c r="E250" s="22" t="s">
        <v>32</v>
      </c>
      <c r="F250" s="22" t="s">
        <v>1746</v>
      </c>
      <c r="G250" s="23" t="s">
        <v>32</v>
      </c>
      <c r="H250" s="23" t="s">
        <v>32</v>
      </c>
      <c r="I250" s="25" t="s">
        <v>32</v>
      </c>
      <c r="J250" s="23" t="s">
        <v>1747</v>
      </c>
      <c r="K250" s="22" t="s">
        <v>1748</v>
      </c>
      <c r="L250" s="22" t="s">
        <v>719</v>
      </c>
      <c r="M250" s="22" t="s">
        <v>32</v>
      </c>
      <c r="N250" s="22" t="s">
        <v>32</v>
      </c>
      <c r="O250" s="23" t="s">
        <v>105</v>
      </c>
      <c r="P250" s="23" t="s">
        <v>59</v>
      </c>
      <c r="Q250" s="22" t="s">
        <v>32</v>
      </c>
      <c r="R250" s="22" t="s">
        <v>32</v>
      </c>
      <c r="S250" s="22" t="s">
        <v>32</v>
      </c>
      <c r="T250" s="23" t="s">
        <v>59</v>
      </c>
      <c r="U250" s="22" t="s">
        <v>32</v>
      </c>
      <c r="V250" s="22" t="s">
        <v>689</v>
      </c>
      <c r="W250" s="23" t="s">
        <v>32</v>
      </c>
      <c r="X250" s="22" t="s">
        <v>1749</v>
      </c>
      <c r="Y250" s="22" t="s">
        <v>32</v>
      </c>
      <c r="Z250" s="22">
        <v>2.78</v>
      </c>
      <c r="AA250" s="22" t="s">
        <v>1750</v>
      </c>
      <c r="AB250" s="1" t="s">
        <v>362</v>
      </c>
      <c r="AC250" s="1" t="s">
        <v>1751</v>
      </c>
      <c r="AD250" s="1" t="s">
        <v>1541</v>
      </c>
      <c r="AE250" s="1" t="s">
        <v>1078</v>
      </c>
      <c r="AF250" s="1" t="s">
        <v>1705</v>
      </c>
      <c r="AG250" s="1" t="s">
        <v>32</v>
      </c>
      <c r="AH250" s="1" t="s">
        <v>1058</v>
      </c>
      <c r="AI250" s="1" t="s">
        <v>1743</v>
      </c>
      <c r="AJ250" s="1" t="s">
        <v>1732</v>
      </c>
      <c r="AK250" s="1" t="s">
        <v>426</v>
      </c>
      <c r="AL250" s="1">
        <v>-273</v>
      </c>
      <c r="AM250" s="1" t="s">
        <v>759</v>
      </c>
      <c r="AN250" s="1" t="s">
        <v>734</v>
      </c>
      <c r="AO250" s="1" t="s">
        <v>437</v>
      </c>
      <c r="AP250" s="1" t="s">
        <v>78</v>
      </c>
      <c r="AQ250" s="1" t="s">
        <v>78</v>
      </c>
      <c r="AR250" s="1" t="s">
        <v>113</v>
      </c>
      <c r="AS250" s="1" t="s">
        <v>78</v>
      </c>
      <c r="AT250" s="1" t="s">
        <v>57</v>
      </c>
      <c r="AU250" s="1"/>
    </row>
    <row r="251" spans="2:47" ht="18" customHeight="1" x14ac:dyDescent="0.2">
      <c r="B251" s="14" t="s">
        <v>1744</v>
      </c>
      <c r="C251" s="1" t="s">
        <v>1745</v>
      </c>
      <c r="D251" s="22" t="s">
        <v>1609</v>
      </c>
      <c r="E251" s="22" t="s">
        <v>32</v>
      </c>
      <c r="F251" s="22" t="s">
        <v>1746</v>
      </c>
      <c r="G251" s="23" t="s">
        <v>32</v>
      </c>
      <c r="H251" s="23" t="s">
        <v>32</v>
      </c>
      <c r="I251" s="25" t="s">
        <v>32</v>
      </c>
      <c r="J251" s="23" t="s">
        <v>1747</v>
      </c>
      <c r="K251" s="22" t="s">
        <v>1748</v>
      </c>
      <c r="L251" s="22" t="s">
        <v>719</v>
      </c>
      <c r="M251" s="22" t="s">
        <v>32</v>
      </c>
      <c r="N251" s="22" t="s">
        <v>32</v>
      </c>
      <c r="O251" s="23" t="s">
        <v>105</v>
      </c>
      <c r="P251" s="23" t="s">
        <v>59</v>
      </c>
      <c r="Q251" s="22" t="s">
        <v>32</v>
      </c>
      <c r="R251" s="22" t="s">
        <v>32</v>
      </c>
      <c r="S251" s="22" t="s">
        <v>32</v>
      </c>
      <c r="T251" s="23" t="s">
        <v>59</v>
      </c>
      <c r="U251" s="22" t="s">
        <v>32</v>
      </c>
      <c r="V251" s="22" t="s">
        <v>689</v>
      </c>
      <c r="W251" s="23" t="s">
        <v>32</v>
      </c>
      <c r="X251" s="22" t="s">
        <v>1749</v>
      </c>
      <c r="Y251" s="22" t="s">
        <v>32</v>
      </c>
      <c r="Z251" s="22">
        <v>2.78</v>
      </c>
      <c r="AA251" s="22" t="s">
        <v>1750</v>
      </c>
      <c r="AB251" s="1" t="s">
        <v>1752</v>
      </c>
      <c r="AC251" s="1" t="s">
        <v>1753</v>
      </c>
      <c r="AD251" s="1" t="s">
        <v>1754</v>
      </c>
      <c r="AE251" s="1" t="s">
        <v>1755</v>
      </c>
      <c r="AF251" s="1" t="s">
        <v>1756</v>
      </c>
      <c r="AG251" s="1" t="s">
        <v>32</v>
      </c>
      <c r="AH251" s="1" t="s">
        <v>1058</v>
      </c>
      <c r="AI251" s="1" t="s">
        <v>1757</v>
      </c>
      <c r="AJ251" s="1" t="s">
        <v>1732</v>
      </c>
      <c r="AK251" s="1" t="s">
        <v>426</v>
      </c>
      <c r="AL251" s="1">
        <v>-273</v>
      </c>
      <c r="AM251" s="1" t="s">
        <v>1484</v>
      </c>
      <c r="AN251" s="1" t="s">
        <v>1758</v>
      </c>
      <c r="AO251" s="1" t="s">
        <v>1759</v>
      </c>
      <c r="AP251" s="1" t="s">
        <v>78</v>
      </c>
      <c r="AQ251" s="1" t="s">
        <v>78</v>
      </c>
      <c r="AR251" s="1" t="s">
        <v>113</v>
      </c>
      <c r="AS251" s="1" t="s">
        <v>78</v>
      </c>
      <c r="AT251" s="1" t="s">
        <v>57</v>
      </c>
      <c r="AU251" s="1"/>
    </row>
    <row r="252" spans="2:47" ht="18" customHeight="1" x14ac:dyDescent="0.2">
      <c r="B252" s="14" t="s">
        <v>1760</v>
      </c>
      <c r="C252" s="1" t="s">
        <v>1761</v>
      </c>
      <c r="D252" s="22" t="s">
        <v>846</v>
      </c>
      <c r="E252" s="22" t="s">
        <v>32</v>
      </c>
      <c r="F252" s="22" t="s">
        <v>1763</v>
      </c>
      <c r="G252" s="23" t="s">
        <v>32</v>
      </c>
      <c r="H252" s="23" t="s">
        <v>32</v>
      </c>
      <c r="I252" s="23" t="s">
        <v>32</v>
      </c>
      <c r="J252" s="23" t="s">
        <v>1764</v>
      </c>
      <c r="K252" s="22" t="s">
        <v>1587</v>
      </c>
      <c r="L252" s="22" t="s">
        <v>719</v>
      </c>
      <c r="M252" s="22" t="s">
        <v>32</v>
      </c>
      <c r="N252" s="22" t="s">
        <v>32</v>
      </c>
      <c r="O252" s="23" t="s">
        <v>721</v>
      </c>
      <c r="P252" s="23" t="s">
        <v>689</v>
      </c>
      <c r="Q252" s="22" t="s">
        <v>32</v>
      </c>
      <c r="R252" s="22" t="s">
        <v>32</v>
      </c>
      <c r="S252" s="22" t="s">
        <v>32</v>
      </c>
      <c r="T252" s="23" t="s">
        <v>59</v>
      </c>
      <c r="U252" s="22" t="s">
        <v>32</v>
      </c>
      <c r="V252" s="22" t="s">
        <v>689</v>
      </c>
      <c r="W252" s="23" t="s">
        <v>32</v>
      </c>
      <c r="X252" s="22" t="s">
        <v>1765</v>
      </c>
      <c r="Y252" s="22" t="s">
        <v>32</v>
      </c>
      <c r="Z252" s="22">
        <v>2.78</v>
      </c>
      <c r="AA252" s="22" t="s">
        <v>65</v>
      </c>
      <c r="AB252" s="1" t="s">
        <v>1119</v>
      </c>
      <c r="AC252" s="1" t="s">
        <v>1766</v>
      </c>
      <c r="AD252" s="1" t="s">
        <v>644</v>
      </c>
      <c r="AE252" s="1" t="s">
        <v>1718</v>
      </c>
      <c r="AF252" s="1" t="s">
        <v>212</v>
      </c>
      <c r="AG252" s="1" t="s">
        <v>32</v>
      </c>
      <c r="AH252" s="1" t="s">
        <v>1767</v>
      </c>
      <c r="AI252" s="1" t="s">
        <v>911</v>
      </c>
      <c r="AJ252" s="1" t="s">
        <v>1768</v>
      </c>
      <c r="AK252" s="1" t="s">
        <v>426</v>
      </c>
      <c r="AL252" s="1">
        <v>-273</v>
      </c>
      <c r="AM252" s="1" t="s">
        <v>1769</v>
      </c>
      <c r="AN252" s="1" t="s">
        <v>180</v>
      </c>
      <c r="AO252" s="1" t="s">
        <v>631</v>
      </c>
      <c r="AP252" s="1" t="s">
        <v>113</v>
      </c>
      <c r="AQ252" s="1" t="s">
        <v>78</v>
      </c>
      <c r="AR252" s="1" t="s">
        <v>113</v>
      </c>
      <c r="AS252" s="1" t="s">
        <v>78</v>
      </c>
      <c r="AT252" s="1" t="s">
        <v>57</v>
      </c>
      <c r="AU252" s="1"/>
    </row>
    <row r="253" spans="2:47" ht="18" customHeight="1" x14ac:dyDescent="0.2">
      <c r="B253" s="14" t="s">
        <v>1760</v>
      </c>
      <c r="C253" s="1" t="s">
        <v>1761</v>
      </c>
      <c r="D253" s="22" t="s">
        <v>583</v>
      </c>
      <c r="E253" s="22" t="s">
        <v>32</v>
      </c>
      <c r="F253" s="22" t="s">
        <v>1763</v>
      </c>
      <c r="G253" s="23" t="s">
        <v>32</v>
      </c>
      <c r="H253" s="23" t="s">
        <v>32</v>
      </c>
      <c r="I253" s="23" t="s">
        <v>32</v>
      </c>
      <c r="J253" s="23" t="s">
        <v>1764</v>
      </c>
      <c r="K253" s="22" t="s">
        <v>1587</v>
      </c>
      <c r="L253" s="22" t="s">
        <v>719</v>
      </c>
      <c r="M253" s="22" t="s">
        <v>32</v>
      </c>
      <c r="N253" s="22" t="s">
        <v>32</v>
      </c>
      <c r="O253" s="23" t="s">
        <v>721</v>
      </c>
      <c r="P253" s="23" t="s">
        <v>689</v>
      </c>
      <c r="Q253" s="22" t="s">
        <v>32</v>
      </c>
      <c r="R253" s="22" t="s">
        <v>32</v>
      </c>
      <c r="S253" s="22" t="s">
        <v>32</v>
      </c>
      <c r="T253" s="23" t="s">
        <v>59</v>
      </c>
      <c r="U253" s="22" t="s">
        <v>32</v>
      </c>
      <c r="V253" s="22" t="s">
        <v>689</v>
      </c>
      <c r="W253" s="23" t="s">
        <v>32</v>
      </c>
      <c r="X253" s="22" t="s">
        <v>1765</v>
      </c>
      <c r="Y253" s="22" t="s">
        <v>32</v>
      </c>
      <c r="Z253" s="22">
        <v>2.78</v>
      </c>
      <c r="AA253" s="22" t="s">
        <v>65</v>
      </c>
      <c r="AB253" s="1" t="s">
        <v>362</v>
      </c>
      <c r="AC253" s="1" t="s">
        <v>1770</v>
      </c>
      <c r="AD253" s="1" t="s">
        <v>1722</v>
      </c>
      <c r="AE253" s="1" t="s">
        <v>1718</v>
      </c>
      <c r="AF253" s="1" t="s">
        <v>1771</v>
      </c>
      <c r="AG253" s="1" t="s">
        <v>32</v>
      </c>
      <c r="AH253" s="1" t="s">
        <v>1767</v>
      </c>
      <c r="AI253" s="1" t="s">
        <v>1772</v>
      </c>
      <c r="AJ253" s="1" t="s">
        <v>1768</v>
      </c>
      <c r="AK253" s="1" t="s">
        <v>426</v>
      </c>
      <c r="AL253" s="1">
        <v>-273</v>
      </c>
      <c r="AM253" s="1" t="s">
        <v>1769</v>
      </c>
      <c r="AN253" s="1" t="s">
        <v>180</v>
      </c>
      <c r="AO253" s="1" t="s">
        <v>631</v>
      </c>
      <c r="AP253" s="1" t="s">
        <v>113</v>
      </c>
      <c r="AQ253" s="1" t="s">
        <v>78</v>
      </c>
      <c r="AR253" s="1" t="s">
        <v>113</v>
      </c>
      <c r="AS253" s="1" t="s">
        <v>78</v>
      </c>
      <c r="AT253" s="1" t="s">
        <v>57</v>
      </c>
      <c r="AU253" s="1"/>
    </row>
    <row r="254" spans="2:47" ht="18" customHeight="1" x14ac:dyDescent="0.2">
      <c r="B254" s="14" t="s">
        <v>1760</v>
      </c>
      <c r="C254" s="1" t="s">
        <v>1761</v>
      </c>
      <c r="D254" s="22" t="s">
        <v>1596</v>
      </c>
      <c r="E254" s="22" t="s">
        <v>32</v>
      </c>
      <c r="F254" s="22" t="s">
        <v>1763</v>
      </c>
      <c r="G254" s="23" t="s">
        <v>32</v>
      </c>
      <c r="H254" s="23" t="s">
        <v>32</v>
      </c>
      <c r="I254" s="23" t="s">
        <v>32</v>
      </c>
      <c r="J254" s="23" t="s">
        <v>1764</v>
      </c>
      <c r="K254" s="22" t="s">
        <v>1587</v>
      </c>
      <c r="L254" s="22" t="s">
        <v>719</v>
      </c>
      <c r="M254" s="22" t="s">
        <v>32</v>
      </c>
      <c r="N254" s="22" t="s">
        <v>32</v>
      </c>
      <c r="O254" s="23" t="s">
        <v>721</v>
      </c>
      <c r="P254" s="23" t="s">
        <v>689</v>
      </c>
      <c r="Q254" s="22" t="s">
        <v>32</v>
      </c>
      <c r="R254" s="22" t="s">
        <v>32</v>
      </c>
      <c r="S254" s="22" t="s">
        <v>32</v>
      </c>
      <c r="T254" s="23" t="s">
        <v>59</v>
      </c>
      <c r="U254" s="22" t="s">
        <v>32</v>
      </c>
      <c r="V254" s="22" t="s">
        <v>689</v>
      </c>
      <c r="W254" s="23" t="s">
        <v>32</v>
      </c>
      <c r="X254" s="22" t="s">
        <v>1765</v>
      </c>
      <c r="Y254" s="22" t="s">
        <v>32</v>
      </c>
      <c r="Z254" s="22">
        <v>2.78</v>
      </c>
      <c r="AA254" s="22" t="s">
        <v>65</v>
      </c>
      <c r="AB254" s="1" t="s">
        <v>66</v>
      </c>
      <c r="AC254" s="1" t="s">
        <v>770</v>
      </c>
      <c r="AD254" s="1" t="s">
        <v>1773</v>
      </c>
      <c r="AE254" s="1" t="s">
        <v>944</v>
      </c>
      <c r="AF254" s="1" t="s">
        <v>1774</v>
      </c>
      <c r="AG254" s="1" t="s">
        <v>32</v>
      </c>
      <c r="AH254" s="1" t="s">
        <v>1767</v>
      </c>
      <c r="AI254" s="1" t="s">
        <v>1775</v>
      </c>
      <c r="AJ254" s="1" t="s">
        <v>1768</v>
      </c>
      <c r="AK254" s="1" t="s">
        <v>426</v>
      </c>
      <c r="AL254" s="1">
        <v>-273</v>
      </c>
      <c r="AM254" s="1" t="s">
        <v>1776</v>
      </c>
      <c r="AN254" s="1" t="s">
        <v>892</v>
      </c>
      <c r="AO254" s="1" t="s">
        <v>631</v>
      </c>
      <c r="AP254" s="1" t="s">
        <v>113</v>
      </c>
      <c r="AQ254" s="1" t="s">
        <v>78</v>
      </c>
      <c r="AR254" s="1" t="s">
        <v>113</v>
      </c>
      <c r="AS254" s="1" t="s">
        <v>78</v>
      </c>
      <c r="AT254" s="1" t="s">
        <v>57</v>
      </c>
      <c r="AU254" s="1"/>
    </row>
    <row r="255" spans="2:47" ht="18" customHeight="1" x14ac:dyDescent="0.2">
      <c r="B255" s="14" t="s">
        <v>1760</v>
      </c>
      <c r="C255" s="1" t="s">
        <v>1761</v>
      </c>
      <c r="D255" s="22" t="s">
        <v>1762</v>
      </c>
      <c r="E255" s="22" t="s">
        <v>32</v>
      </c>
      <c r="F255" s="22" t="s">
        <v>1763</v>
      </c>
      <c r="G255" s="23" t="s">
        <v>32</v>
      </c>
      <c r="H255" s="23" t="s">
        <v>32</v>
      </c>
      <c r="I255" s="23" t="s">
        <v>32</v>
      </c>
      <c r="J255" s="23" t="s">
        <v>1764</v>
      </c>
      <c r="K255" s="22" t="s">
        <v>1587</v>
      </c>
      <c r="L255" s="22" t="s">
        <v>719</v>
      </c>
      <c r="M255" s="22" t="s">
        <v>32</v>
      </c>
      <c r="N255" s="22" t="s">
        <v>32</v>
      </c>
      <c r="O255" s="23" t="s">
        <v>721</v>
      </c>
      <c r="P255" s="23" t="s">
        <v>689</v>
      </c>
      <c r="Q255" s="22" t="s">
        <v>32</v>
      </c>
      <c r="R255" s="22" t="s">
        <v>32</v>
      </c>
      <c r="S255" s="22" t="s">
        <v>32</v>
      </c>
      <c r="T255" s="23" t="s">
        <v>59</v>
      </c>
      <c r="U255" s="22" t="s">
        <v>32</v>
      </c>
      <c r="V255" s="22" t="s">
        <v>689</v>
      </c>
      <c r="W255" s="23" t="s">
        <v>32</v>
      </c>
      <c r="X255" s="22" t="s">
        <v>1765</v>
      </c>
      <c r="Y255" s="22" t="s">
        <v>32</v>
      </c>
      <c r="Z255" s="22">
        <v>2.78</v>
      </c>
      <c r="AA255" s="22" t="s">
        <v>65</v>
      </c>
      <c r="AB255" s="1" t="s">
        <v>1119</v>
      </c>
      <c r="AC255" s="1" t="s">
        <v>1777</v>
      </c>
      <c r="AD255" s="1" t="s">
        <v>1620</v>
      </c>
      <c r="AE255" s="1" t="s">
        <v>1718</v>
      </c>
      <c r="AF255" s="1" t="s">
        <v>1778</v>
      </c>
      <c r="AG255" s="1" t="s">
        <v>32</v>
      </c>
      <c r="AH255" s="1" t="s">
        <v>1767</v>
      </c>
      <c r="AI255" s="1" t="s">
        <v>1779</v>
      </c>
      <c r="AJ255" s="1" t="s">
        <v>1768</v>
      </c>
      <c r="AK255" s="1" t="s">
        <v>426</v>
      </c>
      <c r="AL255" s="1">
        <v>-273</v>
      </c>
      <c r="AM255" s="1" t="s">
        <v>1780</v>
      </c>
      <c r="AN255" s="1" t="s">
        <v>734</v>
      </c>
      <c r="AO255" s="1" t="s">
        <v>437</v>
      </c>
      <c r="AP255" s="1" t="s">
        <v>113</v>
      </c>
      <c r="AQ255" s="1" t="s">
        <v>78</v>
      </c>
      <c r="AR255" s="1" t="s">
        <v>113</v>
      </c>
      <c r="AS255" s="1" t="s">
        <v>78</v>
      </c>
      <c r="AT255" s="1" t="s">
        <v>57</v>
      </c>
      <c r="AU255" s="1"/>
    </row>
    <row r="256" spans="2:47" ht="18" customHeight="1" x14ac:dyDescent="0.2">
      <c r="B256" s="14" t="s">
        <v>1760</v>
      </c>
      <c r="C256" s="1" t="s">
        <v>1761</v>
      </c>
      <c r="D256" s="22" t="s">
        <v>1556</v>
      </c>
      <c r="E256" s="22" t="s">
        <v>32</v>
      </c>
      <c r="F256" s="22" t="s">
        <v>1763</v>
      </c>
      <c r="G256" s="23" t="s">
        <v>32</v>
      </c>
      <c r="H256" s="23" t="s">
        <v>32</v>
      </c>
      <c r="I256" s="23" t="s">
        <v>32</v>
      </c>
      <c r="J256" s="23" t="s">
        <v>1764</v>
      </c>
      <c r="K256" s="22" t="s">
        <v>1587</v>
      </c>
      <c r="L256" s="22" t="s">
        <v>719</v>
      </c>
      <c r="M256" s="22" t="s">
        <v>32</v>
      </c>
      <c r="N256" s="22" t="s">
        <v>32</v>
      </c>
      <c r="O256" s="23" t="s">
        <v>721</v>
      </c>
      <c r="P256" s="23" t="s">
        <v>689</v>
      </c>
      <c r="Q256" s="22" t="s">
        <v>32</v>
      </c>
      <c r="R256" s="22" t="s">
        <v>32</v>
      </c>
      <c r="S256" s="22" t="s">
        <v>32</v>
      </c>
      <c r="T256" s="23" t="s">
        <v>59</v>
      </c>
      <c r="U256" s="22" t="s">
        <v>32</v>
      </c>
      <c r="V256" s="22" t="s">
        <v>689</v>
      </c>
      <c r="W256" s="23" t="s">
        <v>32</v>
      </c>
      <c r="X256" s="22" t="s">
        <v>1765</v>
      </c>
      <c r="Y256" s="22" t="s">
        <v>32</v>
      </c>
      <c r="Z256" s="22">
        <v>2.78</v>
      </c>
      <c r="AA256" s="22" t="s">
        <v>65</v>
      </c>
      <c r="AB256" s="1" t="s">
        <v>362</v>
      </c>
      <c r="AC256" s="1" t="s">
        <v>823</v>
      </c>
      <c r="AD256" s="1" t="s">
        <v>644</v>
      </c>
      <c r="AE256" s="1" t="s">
        <v>1781</v>
      </c>
      <c r="AF256" s="1" t="s">
        <v>1778</v>
      </c>
      <c r="AG256" s="1" t="s">
        <v>32</v>
      </c>
      <c r="AH256" s="1" t="s">
        <v>1767</v>
      </c>
      <c r="AI256" s="1" t="s">
        <v>1782</v>
      </c>
      <c r="AJ256" s="1" t="s">
        <v>1768</v>
      </c>
      <c r="AK256" s="1" t="s">
        <v>426</v>
      </c>
      <c r="AL256" s="1">
        <v>-273</v>
      </c>
      <c r="AM256" s="1" t="s">
        <v>680</v>
      </c>
      <c r="AN256" s="1" t="s">
        <v>180</v>
      </c>
      <c r="AO256" s="1" t="s">
        <v>631</v>
      </c>
      <c r="AP256" s="1" t="s">
        <v>113</v>
      </c>
      <c r="AQ256" s="1" t="s">
        <v>78</v>
      </c>
      <c r="AR256" s="1" t="s">
        <v>113</v>
      </c>
      <c r="AS256" s="1" t="s">
        <v>78</v>
      </c>
      <c r="AT256" s="1" t="s">
        <v>57</v>
      </c>
      <c r="AU256" s="1"/>
    </row>
    <row r="257" spans="2:47" ht="18" customHeight="1" x14ac:dyDescent="0.2">
      <c r="B257" s="14" t="s">
        <v>1783</v>
      </c>
      <c r="C257" s="1" t="s">
        <v>1784</v>
      </c>
      <c r="D257" s="22" t="s">
        <v>673</v>
      </c>
      <c r="E257" s="22" t="s">
        <v>32</v>
      </c>
      <c r="F257" s="22" t="s">
        <v>981</v>
      </c>
      <c r="G257" s="23" t="s">
        <v>32</v>
      </c>
      <c r="H257" s="23" t="s">
        <v>32</v>
      </c>
      <c r="I257" s="23" t="s">
        <v>32</v>
      </c>
      <c r="J257" s="23" t="s">
        <v>59</v>
      </c>
      <c r="K257" s="22" t="s">
        <v>688</v>
      </c>
      <c r="L257" s="22" t="s">
        <v>273</v>
      </c>
      <c r="M257" s="22" t="s">
        <v>32</v>
      </c>
      <c r="N257" s="22" t="s">
        <v>32</v>
      </c>
      <c r="O257" s="23" t="s">
        <v>1805</v>
      </c>
      <c r="P257" s="23" t="s">
        <v>59</v>
      </c>
      <c r="Q257" s="22" t="s">
        <v>32</v>
      </c>
      <c r="R257" s="22" t="s">
        <v>32</v>
      </c>
      <c r="S257" s="22" t="s">
        <v>32</v>
      </c>
      <c r="T257" s="23" t="s">
        <v>167</v>
      </c>
      <c r="U257" s="22" t="s">
        <v>32</v>
      </c>
      <c r="V257" s="22" t="s">
        <v>59</v>
      </c>
      <c r="W257" s="23" t="s">
        <v>32</v>
      </c>
      <c r="X257" s="22" t="s">
        <v>42</v>
      </c>
      <c r="Y257" s="22" t="s">
        <v>1806</v>
      </c>
      <c r="Z257" s="22">
        <v>1.7</v>
      </c>
      <c r="AA257" s="22" t="s">
        <v>1807</v>
      </c>
      <c r="AB257" s="1" t="s">
        <v>1808</v>
      </c>
      <c r="AC257" s="1" t="s">
        <v>1809</v>
      </c>
      <c r="AD257" s="1" t="s">
        <v>1810</v>
      </c>
      <c r="AE257" s="1" t="s">
        <v>100</v>
      </c>
      <c r="AF257" s="1" t="s">
        <v>1811</v>
      </c>
      <c r="AG257" s="1" t="s">
        <v>32</v>
      </c>
      <c r="AH257" s="1" t="s">
        <v>1812</v>
      </c>
      <c r="AI257" s="1" t="s">
        <v>911</v>
      </c>
      <c r="AJ257" s="1" t="s">
        <v>808</v>
      </c>
      <c r="AK257" s="1" t="s">
        <v>245</v>
      </c>
      <c r="AL257" s="1">
        <v>-273</v>
      </c>
      <c r="AM257" s="1" t="s">
        <v>1813</v>
      </c>
      <c r="AN257" s="1" t="s">
        <v>1814</v>
      </c>
      <c r="AO257" s="1" t="s">
        <v>1804</v>
      </c>
      <c r="AP257" s="1" t="s">
        <v>113</v>
      </c>
      <c r="AQ257" s="1" t="s">
        <v>137</v>
      </c>
      <c r="AR257" s="1" t="s">
        <v>113</v>
      </c>
      <c r="AS257" s="1" t="s">
        <v>113</v>
      </c>
      <c r="AT257" s="1" t="s">
        <v>57</v>
      </c>
      <c r="AU257" s="1"/>
    </row>
    <row r="258" spans="2:47" ht="18" customHeight="1" x14ac:dyDescent="0.2">
      <c r="B258" s="14" t="s">
        <v>1790</v>
      </c>
      <c r="C258" s="14" t="s">
        <v>1791</v>
      </c>
      <c r="D258" s="22" t="s">
        <v>294</v>
      </c>
      <c r="E258" s="22" t="s">
        <v>32</v>
      </c>
      <c r="F258" s="22" t="s">
        <v>1792</v>
      </c>
      <c r="G258" s="23" t="s">
        <v>32</v>
      </c>
      <c r="H258" s="23" t="s">
        <v>32</v>
      </c>
      <c r="I258" s="23" t="s">
        <v>32</v>
      </c>
      <c r="J258" s="23" t="s">
        <v>59</v>
      </c>
      <c r="K258" s="22" t="s">
        <v>1793</v>
      </c>
      <c r="L258" s="22" t="s">
        <v>98</v>
      </c>
      <c r="M258" s="22" t="s">
        <v>32</v>
      </c>
      <c r="N258" s="22" t="s">
        <v>1794</v>
      </c>
      <c r="O258" s="23" t="s">
        <v>554</v>
      </c>
      <c r="P258" s="23" t="s">
        <v>59</v>
      </c>
      <c r="Q258" s="22" t="s">
        <v>32</v>
      </c>
      <c r="R258" s="22" t="s">
        <v>32</v>
      </c>
      <c r="S258" s="22" t="s">
        <v>32</v>
      </c>
      <c r="T258" s="23" t="s">
        <v>273</v>
      </c>
      <c r="U258" s="22" t="s">
        <v>32</v>
      </c>
      <c r="V258" s="22" t="s">
        <v>59</v>
      </c>
      <c r="W258" s="23" t="s">
        <v>32</v>
      </c>
      <c r="X258" s="22" t="s">
        <v>42</v>
      </c>
      <c r="Y258" s="22" t="s">
        <v>1795</v>
      </c>
      <c r="Z258" s="22">
        <v>1.7</v>
      </c>
      <c r="AA258" s="22" t="s">
        <v>1796</v>
      </c>
      <c r="AB258" s="1" t="s">
        <v>548</v>
      </c>
      <c r="AC258" s="1" t="s">
        <v>1797</v>
      </c>
      <c r="AD258" s="1" t="s">
        <v>1798</v>
      </c>
      <c r="AE258" s="1" t="s">
        <v>1799</v>
      </c>
      <c r="AF258" s="1" t="s">
        <v>1800</v>
      </c>
      <c r="AG258" s="1" t="s">
        <v>32</v>
      </c>
      <c r="AH258" s="1" t="s">
        <v>1801</v>
      </c>
      <c r="AI258" s="1" t="s">
        <v>911</v>
      </c>
      <c r="AJ258" s="1" t="s">
        <v>808</v>
      </c>
      <c r="AK258" s="1" t="s">
        <v>245</v>
      </c>
      <c r="AL258" s="1">
        <v>-273</v>
      </c>
      <c r="AM258" s="1" t="s">
        <v>1802</v>
      </c>
      <c r="AN258" s="1" t="s">
        <v>1803</v>
      </c>
      <c r="AO258" s="1" t="s">
        <v>1804</v>
      </c>
      <c r="AP258" s="1" t="s">
        <v>113</v>
      </c>
      <c r="AQ258" s="1" t="s">
        <v>137</v>
      </c>
      <c r="AR258" s="1" t="s">
        <v>113</v>
      </c>
      <c r="AS258" s="1" t="s">
        <v>113</v>
      </c>
      <c r="AT258" s="1" t="s">
        <v>57</v>
      </c>
      <c r="AU258" s="1"/>
    </row>
    <row r="259" spans="2:47" ht="18" customHeight="1" x14ac:dyDescent="0.2">
      <c r="B259" s="14" t="s">
        <v>1788</v>
      </c>
      <c r="C259" s="1" t="s">
        <v>1786</v>
      </c>
      <c r="D259" s="22" t="s">
        <v>1785</v>
      </c>
      <c r="E259" s="22" t="s">
        <v>32</v>
      </c>
      <c r="F259" s="22" t="s">
        <v>1815</v>
      </c>
      <c r="G259" s="23" t="s">
        <v>32</v>
      </c>
      <c r="H259" s="23" t="s">
        <v>32</v>
      </c>
      <c r="I259" s="23" t="s">
        <v>32</v>
      </c>
      <c r="J259" s="23" t="s">
        <v>59</v>
      </c>
      <c r="K259" s="23" t="s">
        <v>32</v>
      </c>
      <c r="L259" s="23" t="s">
        <v>1816</v>
      </c>
      <c r="M259" s="23" t="s">
        <v>32</v>
      </c>
      <c r="N259" s="23" t="s">
        <v>32</v>
      </c>
      <c r="O259" s="23" t="s">
        <v>59</v>
      </c>
      <c r="P259" s="23" t="s">
        <v>32</v>
      </c>
      <c r="Q259" s="23" t="s">
        <v>32</v>
      </c>
      <c r="R259" s="23" t="s">
        <v>32</v>
      </c>
      <c r="S259" s="23" t="s">
        <v>32</v>
      </c>
      <c r="T259" s="23" t="s">
        <v>1817</v>
      </c>
      <c r="U259" s="23" t="s">
        <v>32</v>
      </c>
      <c r="V259" s="25" t="s">
        <v>59</v>
      </c>
      <c r="W259" s="23" t="s">
        <v>1818</v>
      </c>
      <c r="X259" s="23" t="s">
        <v>42</v>
      </c>
      <c r="Y259" s="23" t="s">
        <v>32</v>
      </c>
      <c r="Z259" s="22">
        <v>3.6</v>
      </c>
      <c r="AA259" s="22" t="s">
        <v>1819</v>
      </c>
      <c r="AB259" s="1" t="s">
        <v>1820</v>
      </c>
      <c r="AC259" s="1" t="s">
        <v>1821</v>
      </c>
      <c r="AD259" s="1" t="s">
        <v>1822</v>
      </c>
      <c r="AE259" s="1" t="s">
        <v>141</v>
      </c>
      <c r="AF259" s="1" t="s">
        <v>562</v>
      </c>
      <c r="AG259" s="1" t="s">
        <v>32</v>
      </c>
      <c r="AH259" s="1" t="s">
        <v>1823</v>
      </c>
      <c r="AI259" s="1" t="s">
        <v>1824</v>
      </c>
      <c r="AJ259" s="1" t="s">
        <v>1825</v>
      </c>
      <c r="AK259" s="1" t="s">
        <v>839</v>
      </c>
      <c r="AL259" s="1">
        <v>-273</v>
      </c>
      <c r="AM259" s="1" t="s">
        <v>1826</v>
      </c>
      <c r="AN259" s="1" t="s">
        <v>511</v>
      </c>
      <c r="AO259" s="1" t="s">
        <v>1827</v>
      </c>
      <c r="AP259" s="1" t="s">
        <v>113</v>
      </c>
      <c r="AQ259" s="1" t="s">
        <v>137</v>
      </c>
      <c r="AR259" s="1" t="s">
        <v>113</v>
      </c>
      <c r="AS259" s="1" t="s">
        <v>113</v>
      </c>
      <c r="AT259" s="1" t="s">
        <v>78</v>
      </c>
      <c r="AU259" s="1"/>
    </row>
    <row r="260" spans="2:47" ht="18" customHeight="1" x14ac:dyDescent="0.2">
      <c r="B260" s="14" t="s">
        <v>1789</v>
      </c>
      <c r="C260" s="14" t="s">
        <v>1787</v>
      </c>
      <c r="D260" s="22" t="s">
        <v>1785</v>
      </c>
      <c r="E260" s="22" t="s">
        <v>32</v>
      </c>
      <c r="F260" s="22" t="s">
        <v>1828</v>
      </c>
      <c r="G260" s="23" t="s">
        <v>32</v>
      </c>
      <c r="H260" s="23" t="s">
        <v>32</v>
      </c>
      <c r="I260" s="23" t="s">
        <v>418</v>
      </c>
      <c r="J260" s="23" t="s">
        <v>32</v>
      </c>
      <c r="K260" s="23" t="s">
        <v>32</v>
      </c>
      <c r="L260" s="23" t="s">
        <v>1830</v>
      </c>
      <c r="M260" s="23" t="s">
        <v>32</v>
      </c>
      <c r="N260" s="23" t="s">
        <v>32</v>
      </c>
      <c r="O260" s="23" t="s">
        <v>32</v>
      </c>
      <c r="P260" s="23" t="s">
        <v>39</v>
      </c>
      <c r="Q260" s="23" t="s">
        <v>32</v>
      </c>
      <c r="R260" s="23" t="s">
        <v>32</v>
      </c>
      <c r="S260" s="23" t="s">
        <v>32</v>
      </c>
      <c r="T260" s="23" t="s">
        <v>167</v>
      </c>
      <c r="U260" s="23" t="s">
        <v>32</v>
      </c>
      <c r="V260" s="23" t="s">
        <v>39</v>
      </c>
      <c r="W260" s="23" t="s">
        <v>32</v>
      </c>
      <c r="X260" s="23" t="s">
        <v>39</v>
      </c>
      <c r="Y260" s="23" t="s">
        <v>32</v>
      </c>
      <c r="Z260" s="22">
        <v>4.75</v>
      </c>
      <c r="AA260" s="22" t="s">
        <v>1831</v>
      </c>
      <c r="AB260" s="1" t="s">
        <v>1820</v>
      </c>
      <c r="AC260" s="1" t="s">
        <v>1821</v>
      </c>
      <c r="AD260" s="1" t="s">
        <v>1822</v>
      </c>
      <c r="AE260" s="1" t="s">
        <v>141</v>
      </c>
      <c r="AF260" s="1" t="s">
        <v>562</v>
      </c>
      <c r="AG260" s="1" t="s">
        <v>32</v>
      </c>
      <c r="AH260" s="1" t="s">
        <v>1823</v>
      </c>
      <c r="AI260" s="1" t="s">
        <v>1824</v>
      </c>
      <c r="AJ260" s="1" t="s">
        <v>1832</v>
      </c>
      <c r="AK260" s="1" t="s">
        <v>839</v>
      </c>
      <c r="AL260" s="1">
        <v>-273</v>
      </c>
      <c r="AM260" s="1" t="s">
        <v>1826</v>
      </c>
      <c r="AN260" s="1" t="s">
        <v>511</v>
      </c>
      <c r="AO260" s="1" t="s">
        <v>480</v>
      </c>
      <c r="AP260" s="1" t="s">
        <v>113</v>
      </c>
      <c r="AQ260" s="1" t="s">
        <v>137</v>
      </c>
      <c r="AR260" s="1" t="s">
        <v>113</v>
      </c>
      <c r="AS260" s="1" t="s">
        <v>113</v>
      </c>
      <c r="AT260" s="1" t="s">
        <v>78</v>
      </c>
      <c r="AU260" s="1"/>
    </row>
    <row r="261" spans="2:47" ht="18" customHeight="1" x14ac:dyDescent="0.2">
      <c r="C261" s="1"/>
      <c r="D261" s="1"/>
      <c r="E261" s="1"/>
      <c r="F261" s="1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</row>
    <row r="262" spans="2:47" ht="18" customHeight="1" x14ac:dyDescent="0.2">
      <c r="C262" s="1"/>
      <c r="D262" s="1"/>
      <c r="E262" s="1"/>
      <c r="F262" s="1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</row>
    <row r="263" spans="2:47" ht="18" customHeight="1" x14ac:dyDescent="0.2">
      <c r="C263" s="1"/>
      <c r="D263" s="1"/>
      <c r="E263" s="1"/>
      <c r="F263" s="1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</row>
    <row r="264" spans="2:47" ht="18" customHeight="1" x14ac:dyDescent="0.2">
      <c r="C264" s="1"/>
      <c r="D264" s="1"/>
      <c r="E264" s="1"/>
      <c r="F264" s="1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</row>
    <row r="265" spans="2:47" ht="18" customHeight="1" x14ac:dyDescent="0.2"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</row>
    <row r="266" spans="2:47" ht="18" customHeight="1" x14ac:dyDescent="0.2"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</row>
    <row r="267" spans="2:47" ht="18" customHeight="1" x14ac:dyDescent="0.2"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</row>
    <row r="268" spans="2:47" ht="18" customHeight="1" x14ac:dyDescent="0.2"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</row>
    <row r="269" spans="2:47" ht="18" customHeight="1" x14ac:dyDescent="0.2"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</row>
    <row r="270" spans="2:47" ht="18" customHeight="1" x14ac:dyDescent="0.2"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</row>
    <row r="271" spans="2:47" ht="18" customHeight="1" x14ac:dyDescent="0.2"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</row>
    <row r="272" spans="2:47" ht="18" customHeight="1" x14ac:dyDescent="0.2"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</row>
    <row r="273" spans="3:47" ht="18" customHeight="1" x14ac:dyDescent="0.2"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</row>
    <row r="274" spans="3:47" ht="18" customHeight="1" x14ac:dyDescent="0.2"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</row>
    <row r="275" spans="3:47" ht="18" customHeight="1" x14ac:dyDescent="0.2"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</row>
    <row r="276" spans="3:47" ht="18" customHeight="1" x14ac:dyDescent="0.2"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</row>
    <row r="277" spans="3:47" ht="18" customHeight="1" x14ac:dyDescent="0.2"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</row>
    <row r="278" spans="3:47" ht="18" customHeight="1" x14ac:dyDescent="0.2"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</row>
    <row r="279" spans="3:47" ht="18" customHeight="1" x14ac:dyDescent="0.2"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</row>
    <row r="280" spans="3:47" ht="18" customHeight="1" x14ac:dyDescent="0.2"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</row>
    <row r="281" spans="3:47" ht="18" customHeight="1" x14ac:dyDescent="0.2"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</row>
    <row r="282" spans="3:47" ht="18" customHeight="1" x14ac:dyDescent="0.2"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</row>
    <row r="283" spans="3:47" ht="18" customHeight="1" x14ac:dyDescent="0.2"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</row>
    <row r="284" spans="3:47" ht="18" customHeight="1" x14ac:dyDescent="0.2"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</row>
    <row r="285" spans="3:47" ht="18" customHeight="1" x14ac:dyDescent="0.2"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</row>
    <row r="286" spans="3:47" ht="18" customHeight="1" x14ac:dyDescent="0.2"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</row>
    <row r="287" spans="3:47" ht="18" customHeight="1" x14ac:dyDescent="0.2"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</row>
    <row r="288" spans="3:47" ht="18" customHeight="1" x14ac:dyDescent="0.2"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</row>
    <row r="289" spans="3:47" ht="18" customHeight="1" x14ac:dyDescent="0.2"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</row>
    <row r="290" spans="3:47" ht="18" customHeight="1" x14ac:dyDescent="0.2"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</row>
    <row r="291" spans="3:47" ht="18" customHeight="1" x14ac:dyDescent="0.2"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</row>
    <row r="292" spans="3:47" ht="18" customHeight="1" x14ac:dyDescent="0.2"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</row>
    <row r="293" spans="3:47" ht="18" customHeight="1" x14ac:dyDescent="0.2"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</row>
    <row r="294" spans="3:47" ht="18" customHeight="1" x14ac:dyDescent="0.2"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</row>
    <row r="295" spans="3:47" ht="18" customHeight="1" x14ac:dyDescent="0.2"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</row>
    <row r="296" spans="3:47" ht="18" customHeight="1" x14ac:dyDescent="0.2"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</row>
    <row r="297" spans="3:47" ht="18" customHeight="1" x14ac:dyDescent="0.2"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</row>
    <row r="298" spans="3:47" ht="18" customHeight="1" x14ac:dyDescent="0.2"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</row>
    <row r="299" spans="3:47" ht="18" customHeight="1" x14ac:dyDescent="0.2"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</row>
    <row r="300" spans="3:47" ht="18" customHeight="1" x14ac:dyDescent="0.2"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</row>
    <row r="301" spans="3:47" ht="18" customHeight="1" x14ac:dyDescent="0.2"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</row>
    <row r="302" spans="3:47" ht="18" customHeight="1" x14ac:dyDescent="0.2"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</row>
    <row r="303" spans="3:47" ht="18" customHeight="1" x14ac:dyDescent="0.2"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</row>
    <row r="304" spans="3:47" ht="18" customHeight="1" x14ac:dyDescent="0.2"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</row>
    <row r="305" spans="3:47" ht="18" customHeight="1" x14ac:dyDescent="0.2"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</row>
    <row r="306" spans="3:47" ht="18" customHeight="1" x14ac:dyDescent="0.2"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</row>
    <row r="307" spans="3:47" ht="18" customHeight="1" x14ac:dyDescent="0.2"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</row>
    <row r="308" spans="3:47" ht="18" customHeight="1" x14ac:dyDescent="0.2"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</row>
    <row r="309" spans="3:47" ht="18" customHeight="1" x14ac:dyDescent="0.2"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</row>
    <row r="310" spans="3:47" ht="18" customHeight="1" x14ac:dyDescent="0.2"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</row>
    <row r="311" spans="3:47" ht="18" customHeight="1" x14ac:dyDescent="0.2"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</row>
    <row r="312" spans="3:47" ht="18" customHeight="1" x14ac:dyDescent="0.2"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</row>
    <row r="313" spans="3:47" ht="18" customHeight="1" x14ac:dyDescent="0.2"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</row>
    <row r="314" spans="3:47" ht="18" customHeight="1" x14ac:dyDescent="0.2"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</row>
    <row r="315" spans="3:47" ht="18" customHeight="1" x14ac:dyDescent="0.2"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</row>
    <row r="316" spans="3:47" ht="18" customHeight="1" x14ac:dyDescent="0.2"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</row>
    <row r="317" spans="3:47" ht="18" customHeight="1" x14ac:dyDescent="0.2"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</row>
    <row r="318" spans="3:47" ht="18" customHeight="1" x14ac:dyDescent="0.2"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</row>
    <row r="319" spans="3:47" ht="18" customHeight="1" x14ac:dyDescent="0.2"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</row>
    <row r="320" spans="3:47" ht="18" customHeight="1" x14ac:dyDescent="0.2"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</row>
    <row r="321" spans="3:47" ht="18" customHeight="1" x14ac:dyDescent="0.2"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</row>
    <row r="322" spans="3:47" ht="18" customHeight="1" x14ac:dyDescent="0.2"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</row>
    <row r="323" spans="3:47" ht="18" customHeight="1" x14ac:dyDescent="0.2"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</row>
    <row r="324" spans="3:47" ht="18" customHeight="1" x14ac:dyDescent="0.2"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</row>
    <row r="325" spans="3:47" ht="18" customHeight="1" x14ac:dyDescent="0.2"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</row>
    <row r="326" spans="3:47" ht="18" customHeight="1" x14ac:dyDescent="0.2"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</row>
    <row r="327" spans="3:47" ht="18" customHeight="1" x14ac:dyDescent="0.2"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</row>
    <row r="328" spans="3:47" ht="18" customHeight="1" x14ac:dyDescent="0.2"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</row>
    <row r="329" spans="3:47" ht="18" customHeight="1" x14ac:dyDescent="0.2"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</row>
    <row r="330" spans="3:47" ht="18" customHeight="1" x14ac:dyDescent="0.2"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</row>
    <row r="331" spans="3:47" ht="18" customHeight="1" x14ac:dyDescent="0.2"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</row>
    <row r="332" spans="3:47" ht="18" customHeight="1" x14ac:dyDescent="0.2"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</row>
    <row r="333" spans="3:47" ht="18" customHeight="1" x14ac:dyDescent="0.2"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</row>
    <row r="334" spans="3:47" ht="18" customHeight="1" x14ac:dyDescent="0.2"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</row>
    <row r="335" spans="3:47" ht="18" customHeight="1" x14ac:dyDescent="0.2"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</row>
    <row r="336" spans="3:47" ht="18" customHeight="1" x14ac:dyDescent="0.2"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</row>
    <row r="337" spans="3:47" ht="18" customHeight="1" x14ac:dyDescent="0.2"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</row>
    <row r="338" spans="3:47" ht="18" customHeight="1" x14ac:dyDescent="0.2"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</row>
    <row r="339" spans="3:47" ht="18" customHeight="1" x14ac:dyDescent="0.2"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</row>
    <row r="340" spans="3:47" ht="18" customHeight="1" x14ac:dyDescent="0.2"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</row>
    <row r="341" spans="3:47" ht="18" customHeight="1" x14ac:dyDescent="0.2"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</row>
    <row r="342" spans="3:47" ht="18" customHeight="1" x14ac:dyDescent="0.2"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</row>
    <row r="343" spans="3:47" ht="18" customHeight="1" x14ac:dyDescent="0.2"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</row>
    <row r="344" spans="3:47" ht="18" customHeight="1" x14ac:dyDescent="0.2"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</row>
    <row r="345" spans="3:47" ht="18" customHeight="1" x14ac:dyDescent="0.2"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</row>
    <row r="346" spans="3:47" ht="18" customHeight="1" x14ac:dyDescent="0.2"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</row>
    <row r="347" spans="3:47" ht="18" customHeight="1" x14ac:dyDescent="0.2"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</row>
    <row r="348" spans="3:47" ht="18" customHeight="1" x14ac:dyDescent="0.2"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</row>
    <row r="349" spans="3:47" ht="18" customHeight="1" x14ac:dyDescent="0.2"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</row>
    <row r="350" spans="3:47" ht="18" customHeight="1" x14ac:dyDescent="0.2"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</row>
    <row r="351" spans="3:47" ht="18" customHeight="1" x14ac:dyDescent="0.2"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</row>
    <row r="352" spans="3:47" ht="18" customHeight="1" x14ac:dyDescent="0.2"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</row>
    <row r="353" spans="3:47" ht="18" customHeight="1" x14ac:dyDescent="0.2"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</row>
    <row r="354" spans="3:47" ht="18" customHeight="1" x14ac:dyDescent="0.2"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</row>
    <row r="355" spans="3:47" ht="18" customHeight="1" x14ac:dyDescent="0.2"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</row>
    <row r="356" spans="3:47" ht="18" customHeight="1" x14ac:dyDescent="0.2"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</row>
    <row r="357" spans="3:47" ht="18" customHeight="1" x14ac:dyDescent="0.2"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</row>
    <row r="358" spans="3:47" ht="18" customHeight="1" x14ac:dyDescent="0.2"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</row>
    <row r="359" spans="3:47" ht="18" customHeight="1" x14ac:dyDescent="0.2"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</row>
    <row r="360" spans="3:47" ht="18" customHeight="1" x14ac:dyDescent="0.2"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</row>
    <row r="361" spans="3:47" ht="18" customHeight="1" x14ac:dyDescent="0.2"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</row>
    <row r="362" spans="3:47" ht="18" customHeight="1" x14ac:dyDescent="0.2"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</row>
    <row r="363" spans="3:47" ht="18" customHeight="1" x14ac:dyDescent="0.2"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</row>
    <row r="364" spans="3:47" ht="18" customHeight="1" x14ac:dyDescent="0.2"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</row>
    <row r="365" spans="3:47" ht="18" customHeight="1" x14ac:dyDescent="0.2"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</row>
    <row r="366" spans="3:47" ht="18" customHeight="1" x14ac:dyDescent="0.2"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</row>
    <row r="367" spans="3:47" ht="18" customHeight="1" x14ac:dyDescent="0.2"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</row>
    <row r="368" spans="3:47" ht="18" customHeight="1" x14ac:dyDescent="0.2"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</row>
    <row r="369" spans="3:47" ht="18" customHeight="1" x14ac:dyDescent="0.2"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</row>
    <row r="370" spans="3:47" ht="18" customHeight="1" x14ac:dyDescent="0.2"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</row>
    <row r="371" spans="3:47" ht="18" customHeight="1" x14ac:dyDescent="0.2"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</row>
    <row r="372" spans="3:47" ht="18" customHeight="1" x14ac:dyDescent="0.2"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</row>
    <row r="373" spans="3:47" ht="18" customHeight="1" x14ac:dyDescent="0.2"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</row>
    <row r="374" spans="3:47" ht="18" customHeight="1" x14ac:dyDescent="0.2"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</row>
    <row r="375" spans="3:47" ht="18" customHeight="1" x14ac:dyDescent="0.2"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</row>
    <row r="376" spans="3:47" ht="18" customHeight="1" x14ac:dyDescent="0.2"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</row>
    <row r="377" spans="3:47" ht="18" customHeight="1" x14ac:dyDescent="0.2"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</row>
    <row r="378" spans="3:47" ht="18" customHeight="1" x14ac:dyDescent="0.2"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</row>
    <row r="379" spans="3:47" ht="18" customHeight="1" x14ac:dyDescent="0.2"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</row>
    <row r="380" spans="3:47" ht="18" customHeight="1" x14ac:dyDescent="0.2"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</row>
    <row r="381" spans="3:47" ht="18" customHeight="1" x14ac:dyDescent="0.2"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</row>
    <row r="382" spans="3:47" ht="18" customHeight="1" x14ac:dyDescent="0.2"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</row>
    <row r="383" spans="3:47" ht="18" customHeight="1" x14ac:dyDescent="0.2"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</row>
    <row r="384" spans="3:47" ht="18" customHeight="1" x14ac:dyDescent="0.2"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</row>
    <row r="385" spans="3:47" ht="18" customHeight="1" x14ac:dyDescent="0.2"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</row>
    <row r="386" spans="3:47" ht="18" customHeight="1" x14ac:dyDescent="0.2"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</row>
    <row r="387" spans="3:47" ht="18" customHeight="1" x14ac:dyDescent="0.2"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</row>
    <row r="388" spans="3:47" ht="18" customHeight="1" x14ac:dyDescent="0.2"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</row>
    <row r="389" spans="3:47" ht="18" customHeight="1" x14ac:dyDescent="0.2"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</row>
    <row r="390" spans="3:47" ht="18" customHeight="1" x14ac:dyDescent="0.2"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</row>
    <row r="391" spans="3:47" ht="18" customHeight="1" x14ac:dyDescent="0.2"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</row>
    <row r="392" spans="3:47" ht="18" customHeight="1" x14ac:dyDescent="0.2"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</row>
    <row r="393" spans="3:47" ht="18" customHeight="1" x14ac:dyDescent="0.2"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</row>
    <row r="394" spans="3:47" ht="18" customHeight="1" x14ac:dyDescent="0.2"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</row>
    <row r="395" spans="3:47" ht="18" customHeight="1" x14ac:dyDescent="0.2"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</row>
    <row r="396" spans="3:47" ht="18" customHeight="1" x14ac:dyDescent="0.2"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</row>
    <row r="397" spans="3:47" ht="18" customHeight="1" x14ac:dyDescent="0.2"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</row>
    <row r="398" spans="3:47" ht="18" customHeight="1" x14ac:dyDescent="0.2"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</row>
    <row r="399" spans="3:47" ht="18" customHeight="1" x14ac:dyDescent="0.2"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</row>
    <row r="400" spans="3:47" ht="18" customHeight="1" x14ac:dyDescent="0.2"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</row>
    <row r="401" spans="3:47" ht="18" customHeight="1" x14ac:dyDescent="0.2"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</row>
    <row r="402" spans="3:47" ht="18" customHeight="1" x14ac:dyDescent="0.2"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</row>
    <row r="403" spans="3:47" ht="18" customHeight="1" x14ac:dyDescent="0.2"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</row>
    <row r="404" spans="3:47" ht="18" customHeight="1" x14ac:dyDescent="0.2"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</row>
    <row r="405" spans="3:47" ht="18" customHeight="1" x14ac:dyDescent="0.2"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</row>
    <row r="406" spans="3:47" ht="18" customHeight="1" x14ac:dyDescent="0.2"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</row>
    <row r="407" spans="3:47" ht="18" customHeight="1" x14ac:dyDescent="0.2"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</row>
    <row r="408" spans="3:47" ht="18" customHeight="1" x14ac:dyDescent="0.2"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</row>
    <row r="409" spans="3:47" ht="18" customHeight="1" x14ac:dyDescent="0.2"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</row>
    <row r="410" spans="3:47" ht="18" customHeight="1" x14ac:dyDescent="0.2"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</row>
    <row r="411" spans="3:47" ht="18" customHeight="1" x14ac:dyDescent="0.2"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</row>
    <row r="412" spans="3:47" ht="18" customHeight="1" x14ac:dyDescent="0.2"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</row>
    <row r="413" spans="3:47" ht="18" customHeight="1" x14ac:dyDescent="0.2"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</row>
    <row r="414" spans="3:47" ht="18" customHeight="1" x14ac:dyDescent="0.2"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</row>
    <row r="415" spans="3:47" ht="18" customHeight="1" x14ac:dyDescent="0.2"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</row>
    <row r="416" spans="3:47" ht="18" customHeight="1" x14ac:dyDescent="0.2"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</row>
    <row r="417" spans="3:47" ht="18" customHeight="1" x14ac:dyDescent="0.2"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</row>
    <row r="418" spans="3:47" ht="18" customHeight="1" x14ac:dyDescent="0.2"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</row>
    <row r="419" spans="3:47" ht="18" customHeight="1" x14ac:dyDescent="0.2"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</row>
    <row r="420" spans="3:47" ht="18" customHeight="1" x14ac:dyDescent="0.2"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</row>
    <row r="421" spans="3:47" ht="18" customHeight="1" x14ac:dyDescent="0.2"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</row>
    <row r="422" spans="3:47" ht="18" customHeight="1" x14ac:dyDescent="0.2"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</row>
    <row r="423" spans="3:47" ht="18" customHeight="1" x14ac:dyDescent="0.2"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</row>
    <row r="424" spans="3:47" ht="18" customHeight="1" x14ac:dyDescent="0.2"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</row>
    <row r="425" spans="3:47" ht="18" customHeight="1" x14ac:dyDescent="0.2"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</row>
    <row r="426" spans="3:47" ht="18" customHeight="1" x14ac:dyDescent="0.2"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</row>
    <row r="427" spans="3:47" ht="18" customHeight="1" x14ac:dyDescent="0.2"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</row>
    <row r="428" spans="3:47" ht="18" customHeight="1" x14ac:dyDescent="0.2"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</row>
    <row r="429" spans="3:47" ht="18" customHeight="1" x14ac:dyDescent="0.2"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</row>
    <row r="430" spans="3:47" ht="18" customHeight="1" x14ac:dyDescent="0.2"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</row>
    <row r="431" spans="3:47" ht="18" customHeight="1" x14ac:dyDescent="0.2"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</row>
    <row r="432" spans="3:47" ht="18" customHeight="1" x14ac:dyDescent="0.2"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</row>
    <row r="433" spans="3:47" ht="18" customHeight="1" x14ac:dyDescent="0.2"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</row>
    <row r="434" spans="3:47" ht="18" customHeight="1" x14ac:dyDescent="0.2"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</row>
    <row r="435" spans="3:47" ht="18" customHeight="1" x14ac:dyDescent="0.2"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</row>
    <row r="436" spans="3:47" ht="18" customHeight="1" x14ac:dyDescent="0.2"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</row>
    <row r="437" spans="3:47" ht="18" customHeight="1" x14ac:dyDescent="0.2"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</row>
    <row r="438" spans="3:47" ht="18" customHeight="1" x14ac:dyDescent="0.2">
      <c r="AL438" s="1"/>
    </row>
    <row r="439" spans="3:47" ht="18" customHeight="1" x14ac:dyDescent="0.2">
      <c r="AL439" s="1"/>
    </row>
    <row r="440" spans="3:47" ht="18" customHeight="1" x14ac:dyDescent="0.2">
      <c r="AL440" s="1"/>
    </row>
    <row r="441" spans="3:47" ht="18" customHeight="1" x14ac:dyDescent="0.2">
      <c r="AL441" s="1"/>
    </row>
    <row r="442" spans="3:47" ht="18" customHeight="1" x14ac:dyDescent="0.2">
      <c r="AL442" s="1"/>
    </row>
    <row r="443" spans="3:47" ht="18" customHeight="1" x14ac:dyDescent="0.2">
      <c r="AL443" s="1"/>
    </row>
    <row r="444" spans="3:47" ht="18" customHeight="1" x14ac:dyDescent="0.2">
      <c r="AL444" s="1"/>
    </row>
    <row r="445" spans="3:47" ht="18" customHeight="1" x14ac:dyDescent="0.2">
      <c r="AL445" s="1"/>
    </row>
    <row r="446" spans="3:47" ht="18" customHeight="1" x14ac:dyDescent="0.2">
      <c r="AL446" s="1"/>
    </row>
    <row r="447" spans="3:47" ht="18" customHeight="1" x14ac:dyDescent="0.2">
      <c r="AL447" s="1"/>
    </row>
    <row r="448" spans="3:47" ht="18" customHeight="1" x14ac:dyDescent="0.2">
      <c r="AL448" s="1"/>
    </row>
    <row r="449" spans="38:38" ht="18" customHeight="1" x14ac:dyDescent="0.2">
      <c r="AL449" s="1"/>
    </row>
    <row r="450" spans="38:38" ht="18" customHeight="1" x14ac:dyDescent="0.2">
      <c r="AL450" s="1"/>
    </row>
    <row r="451" spans="38:38" ht="18" customHeight="1" x14ac:dyDescent="0.2">
      <c r="AL451" s="1"/>
    </row>
    <row r="452" spans="38:38" ht="18" customHeight="1" x14ac:dyDescent="0.2">
      <c r="AL452" s="1"/>
    </row>
    <row r="453" spans="38:38" ht="18" customHeight="1" x14ac:dyDescent="0.2">
      <c r="AL453" s="1"/>
    </row>
    <row r="454" spans="38:38" ht="18" customHeight="1" x14ac:dyDescent="0.2">
      <c r="AL454" s="1"/>
    </row>
    <row r="455" spans="38:38" ht="18" customHeight="1" x14ac:dyDescent="0.2">
      <c r="AL455" s="1"/>
    </row>
    <row r="456" spans="38:38" ht="18" customHeight="1" x14ac:dyDescent="0.2">
      <c r="AL456" s="1"/>
    </row>
    <row r="457" spans="38:38" ht="18" customHeight="1" x14ac:dyDescent="0.2">
      <c r="AL457" s="1"/>
    </row>
    <row r="458" spans="38:38" ht="18" customHeight="1" x14ac:dyDescent="0.2">
      <c r="AL458" s="1"/>
    </row>
    <row r="459" spans="38:38" ht="18" customHeight="1" x14ac:dyDescent="0.2">
      <c r="AL459" s="1"/>
    </row>
    <row r="460" spans="38:38" ht="18" customHeight="1" x14ac:dyDescent="0.2">
      <c r="AL460" s="1"/>
    </row>
    <row r="461" spans="38:38" ht="18" customHeight="1" x14ac:dyDescent="0.2">
      <c r="AL461" s="1"/>
    </row>
    <row r="462" spans="38:38" ht="18" customHeight="1" x14ac:dyDescent="0.2">
      <c r="AL462" s="1"/>
    </row>
    <row r="463" spans="38:38" ht="18" customHeight="1" x14ac:dyDescent="0.2">
      <c r="AL463" s="1"/>
    </row>
    <row r="464" spans="38:38" ht="18" customHeight="1" x14ac:dyDescent="0.2">
      <c r="AL464" s="1"/>
    </row>
    <row r="465" spans="38:38" ht="18" customHeight="1" x14ac:dyDescent="0.2">
      <c r="AL465" s="1"/>
    </row>
    <row r="466" spans="38:38" ht="18" customHeight="1" x14ac:dyDescent="0.2">
      <c r="AL466" s="1"/>
    </row>
    <row r="467" spans="38:38" ht="18" customHeight="1" x14ac:dyDescent="0.2">
      <c r="AL467" s="1"/>
    </row>
    <row r="468" spans="38:38" ht="18" customHeight="1" x14ac:dyDescent="0.2">
      <c r="AL468" s="1"/>
    </row>
    <row r="469" spans="38:38" ht="18" customHeight="1" x14ac:dyDescent="0.2">
      <c r="AL469" s="1"/>
    </row>
    <row r="470" spans="38:38" ht="18" customHeight="1" x14ac:dyDescent="0.2">
      <c r="AL470" s="1"/>
    </row>
    <row r="471" spans="38:38" ht="18" customHeight="1" x14ac:dyDescent="0.2">
      <c r="AL471" s="1"/>
    </row>
    <row r="472" spans="38:38" ht="18" customHeight="1" x14ac:dyDescent="0.2">
      <c r="AL472" s="1"/>
    </row>
    <row r="473" spans="38:38" ht="18" customHeight="1" x14ac:dyDescent="0.2">
      <c r="AL473" s="1"/>
    </row>
    <row r="474" spans="38:38" ht="18" customHeight="1" x14ac:dyDescent="0.2">
      <c r="AL474" s="1"/>
    </row>
    <row r="475" spans="38:38" ht="18" customHeight="1" x14ac:dyDescent="0.2">
      <c r="AL475" s="1"/>
    </row>
    <row r="476" spans="38:38" ht="18" customHeight="1" x14ac:dyDescent="0.2">
      <c r="AL476" s="1"/>
    </row>
    <row r="477" spans="38:38" ht="18" customHeight="1" x14ac:dyDescent="0.2">
      <c r="AL477" s="1"/>
    </row>
    <row r="478" spans="38:38" ht="18" customHeight="1" x14ac:dyDescent="0.2">
      <c r="AL478" s="1"/>
    </row>
    <row r="479" spans="38:38" ht="18" customHeight="1" x14ac:dyDescent="0.2">
      <c r="AL479" s="1"/>
    </row>
    <row r="480" spans="38:38" ht="18" customHeight="1" x14ac:dyDescent="0.2">
      <c r="AL480" s="1"/>
    </row>
    <row r="481" spans="38:38" ht="18" customHeight="1" x14ac:dyDescent="0.2">
      <c r="AL481" s="1"/>
    </row>
    <row r="482" spans="38:38" ht="18" customHeight="1" x14ac:dyDescent="0.2">
      <c r="AL482" s="1"/>
    </row>
    <row r="483" spans="38:38" ht="18" customHeight="1" x14ac:dyDescent="0.2">
      <c r="AL483" s="1"/>
    </row>
    <row r="484" spans="38:38" ht="18" customHeight="1" x14ac:dyDescent="0.2">
      <c r="AL484" s="1"/>
    </row>
    <row r="485" spans="38:38" ht="18" customHeight="1" x14ac:dyDescent="0.2">
      <c r="AL485" s="1"/>
    </row>
    <row r="486" spans="38:38" ht="18" customHeight="1" x14ac:dyDescent="0.2">
      <c r="AL486" s="1"/>
    </row>
    <row r="487" spans="38:38" ht="18" customHeight="1" x14ac:dyDescent="0.2">
      <c r="AL487" s="1"/>
    </row>
    <row r="488" spans="38:38" ht="18" customHeight="1" x14ac:dyDescent="0.2">
      <c r="AL488" s="1"/>
    </row>
    <row r="489" spans="38:38" ht="18" customHeight="1" x14ac:dyDescent="0.2">
      <c r="AL489" s="1"/>
    </row>
    <row r="490" spans="38:38" ht="18" customHeight="1" x14ac:dyDescent="0.2">
      <c r="AL490" s="1"/>
    </row>
    <row r="491" spans="38:38" ht="18" customHeight="1" x14ac:dyDescent="0.2">
      <c r="AL491" s="1"/>
    </row>
    <row r="492" spans="38:38" ht="18" customHeight="1" x14ac:dyDescent="0.2">
      <c r="AL492" s="1"/>
    </row>
    <row r="493" spans="38:38" ht="18" customHeight="1" x14ac:dyDescent="0.2">
      <c r="AL493" s="1"/>
    </row>
    <row r="494" spans="38:38" ht="18" customHeight="1" x14ac:dyDescent="0.2">
      <c r="AL494" s="1"/>
    </row>
    <row r="495" spans="38:38" ht="18" customHeight="1" x14ac:dyDescent="0.2">
      <c r="AL495" s="1"/>
    </row>
    <row r="496" spans="38:38" ht="18" customHeight="1" x14ac:dyDescent="0.2">
      <c r="AL496" s="1"/>
    </row>
    <row r="497" spans="38:38" ht="18" customHeight="1" x14ac:dyDescent="0.2">
      <c r="AL497" s="1"/>
    </row>
    <row r="498" spans="38:38" ht="18" customHeight="1" x14ac:dyDescent="0.2">
      <c r="AL498" s="1"/>
    </row>
    <row r="499" spans="38:38" ht="18" customHeight="1" x14ac:dyDescent="0.2">
      <c r="AL499" s="1"/>
    </row>
    <row r="500" spans="38:38" ht="18" customHeight="1" x14ac:dyDescent="0.2">
      <c r="AL500" s="1"/>
    </row>
    <row r="501" spans="38:38" ht="18" customHeight="1" x14ac:dyDescent="0.2">
      <c r="AL501" s="1"/>
    </row>
    <row r="502" spans="38:38" ht="18" customHeight="1" x14ac:dyDescent="0.2">
      <c r="AL502" s="1"/>
    </row>
    <row r="503" spans="38:38" ht="18" customHeight="1" x14ac:dyDescent="0.2">
      <c r="AL503" s="1"/>
    </row>
    <row r="504" spans="38:38" ht="18" customHeight="1" x14ac:dyDescent="0.2">
      <c r="AL504" s="1"/>
    </row>
    <row r="505" spans="38:38" ht="18" customHeight="1" x14ac:dyDescent="0.2">
      <c r="AL505" s="1"/>
    </row>
    <row r="506" spans="38:38" ht="18" customHeight="1" x14ac:dyDescent="0.2">
      <c r="AL506" s="1"/>
    </row>
    <row r="507" spans="38:38" ht="18" customHeight="1" x14ac:dyDescent="0.2">
      <c r="AL507" s="1"/>
    </row>
    <row r="508" spans="38:38" ht="18" customHeight="1" x14ac:dyDescent="0.2">
      <c r="AL508" s="1"/>
    </row>
    <row r="509" spans="38:38" ht="18" customHeight="1" x14ac:dyDescent="0.2">
      <c r="AL509" s="1"/>
    </row>
    <row r="510" spans="38:38" ht="18" customHeight="1" x14ac:dyDescent="0.2">
      <c r="AL510" s="1"/>
    </row>
    <row r="511" spans="38:38" ht="18" customHeight="1" x14ac:dyDescent="0.2">
      <c r="AL511" s="1"/>
    </row>
    <row r="512" spans="38:38" ht="18" customHeight="1" x14ac:dyDescent="0.2">
      <c r="AL512" s="1"/>
    </row>
    <row r="513" spans="38:38" ht="18" customHeight="1" x14ac:dyDescent="0.2">
      <c r="AL513" s="1"/>
    </row>
    <row r="514" spans="38:38" ht="18" customHeight="1" x14ac:dyDescent="0.2">
      <c r="AL514" s="1"/>
    </row>
    <row r="515" spans="38:38" ht="18" customHeight="1" x14ac:dyDescent="0.2">
      <c r="AL515" s="1"/>
    </row>
    <row r="516" spans="38:38" ht="18" customHeight="1" x14ac:dyDescent="0.2">
      <c r="AL516" s="1"/>
    </row>
    <row r="517" spans="38:38" ht="18" customHeight="1" x14ac:dyDescent="0.2">
      <c r="AL517" s="1"/>
    </row>
    <row r="518" spans="38:38" ht="18" customHeight="1" x14ac:dyDescent="0.2">
      <c r="AL518" s="1"/>
    </row>
    <row r="519" spans="38:38" ht="18" customHeight="1" x14ac:dyDescent="0.2">
      <c r="AL519" s="1"/>
    </row>
    <row r="520" spans="38:38" ht="18" customHeight="1" x14ac:dyDescent="0.2">
      <c r="AL520" s="1"/>
    </row>
    <row r="521" spans="38:38" ht="18" customHeight="1" x14ac:dyDescent="0.2">
      <c r="AL521" s="1"/>
    </row>
    <row r="522" spans="38:38" ht="18" customHeight="1" x14ac:dyDescent="0.2">
      <c r="AL522" s="1"/>
    </row>
    <row r="523" spans="38:38" ht="18" customHeight="1" x14ac:dyDescent="0.2">
      <c r="AL523" s="1"/>
    </row>
    <row r="524" spans="38:38" ht="18" customHeight="1" x14ac:dyDescent="0.2">
      <c r="AL524" s="1"/>
    </row>
    <row r="525" spans="38:38" ht="18" customHeight="1" x14ac:dyDescent="0.2">
      <c r="AL525" s="1"/>
    </row>
    <row r="526" spans="38:38" ht="18" customHeight="1" x14ac:dyDescent="0.2">
      <c r="AL526" s="1"/>
    </row>
    <row r="527" spans="38:38" ht="18" customHeight="1" x14ac:dyDescent="0.2">
      <c r="AL527" s="1"/>
    </row>
    <row r="528" spans="38:38" ht="18" customHeight="1" x14ac:dyDescent="0.2">
      <c r="AL528" s="1"/>
    </row>
    <row r="529" spans="38:38" ht="18" customHeight="1" x14ac:dyDescent="0.2">
      <c r="AL529" s="1"/>
    </row>
    <row r="530" spans="38:38" ht="18" customHeight="1" x14ac:dyDescent="0.2">
      <c r="AL530" s="1"/>
    </row>
    <row r="531" spans="38:38" ht="18" customHeight="1" x14ac:dyDescent="0.2">
      <c r="AL531" s="1"/>
    </row>
    <row r="532" spans="38:38" ht="18" customHeight="1" x14ac:dyDescent="0.2">
      <c r="AL532" s="1"/>
    </row>
    <row r="533" spans="38:38" ht="18" customHeight="1" x14ac:dyDescent="0.2">
      <c r="AL533" s="1"/>
    </row>
    <row r="534" spans="38:38" ht="18" customHeight="1" x14ac:dyDescent="0.2">
      <c r="AL534" s="1"/>
    </row>
    <row r="535" spans="38:38" ht="18" customHeight="1" x14ac:dyDescent="0.2">
      <c r="AL535" s="1"/>
    </row>
    <row r="536" spans="38:38" ht="18" customHeight="1" x14ac:dyDescent="0.2">
      <c r="AL536" s="1"/>
    </row>
    <row r="537" spans="38:38" ht="18" customHeight="1" x14ac:dyDescent="0.2">
      <c r="AL537" s="1"/>
    </row>
    <row r="538" spans="38:38" ht="18" customHeight="1" x14ac:dyDescent="0.2">
      <c r="AL538" s="1"/>
    </row>
    <row r="539" spans="38:38" ht="18" customHeight="1" x14ac:dyDescent="0.2">
      <c r="AL539" s="1"/>
    </row>
    <row r="540" spans="38:38" ht="18" customHeight="1" x14ac:dyDescent="0.2">
      <c r="AL540" s="1"/>
    </row>
    <row r="541" spans="38:38" ht="18" customHeight="1" x14ac:dyDescent="0.2">
      <c r="AL541" s="1"/>
    </row>
    <row r="542" spans="38:38" ht="18" customHeight="1" x14ac:dyDescent="0.2">
      <c r="AL542" s="1"/>
    </row>
    <row r="543" spans="38:38" ht="18" customHeight="1" x14ac:dyDescent="0.2">
      <c r="AL543" s="1"/>
    </row>
    <row r="544" spans="38:38" ht="18" customHeight="1" x14ac:dyDescent="0.2">
      <c r="AL544" s="1"/>
    </row>
    <row r="545" spans="38:38" ht="18" customHeight="1" x14ac:dyDescent="0.2">
      <c r="AL545" s="1"/>
    </row>
    <row r="546" spans="38:38" ht="18" customHeight="1" x14ac:dyDescent="0.2">
      <c r="AL546" s="1"/>
    </row>
    <row r="547" spans="38:38" ht="18" customHeight="1" x14ac:dyDescent="0.2">
      <c r="AL547" s="1"/>
    </row>
    <row r="548" spans="38:38" ht="18" customHeight="1" x14ac:dyDescent="0.2">
      <c r="AL548" s="1"/>
    </row>
    <row r="549" spans="38:38" ht="18" customHeight="1" x14ac:dyDescent="0.2">
      <c r="AL549" s="1"/>
    </row>
    <row r="550" spans="38:38" ht="18" customHeight="1" x14ac:dyDescent="0.2">
      <c r="AL550" s="1"/>
    </row>
    <row r="551" spans="38:38" ht="18" customHeight="1" x14ac:dyDescent="0.2">
      <c r="AL551" s="1"/>
    </row>
    <row r="552" spans="38:38" ht="18" customHeight="1" x14ac:dyDescent="0.2">
      <c r="AL552" s="1"/>
    </row>
    <row r="553" spans="38:38" ht="18" customHeight="1" x14ac:dyDescent="0.2">
      <c r="AL553" s="1"/>
    </row>
    <row r="554" spans="38:38" ht="18" customHeight="1" x14ac:dyDescent="0.2">
      <c r="AL554" s="1"/>
    </row>
    <row r="555" spans="38:38" ht="18" customHeight="1" x14ac:dyDescent="0.2">
      <c r="AL555" s="1"/>
    </row>
    <row r="556" spans="38:38" ht="18" customHeight="1" x14ac:dyDescent="0.2">
      <c r="AL556" s="1"/>
    </row>
    <row r="557" spans="38:38" ht="18" customHeight="1" x14ac:dyDescent="0.2">
      <c r="AL557" s="1"/>
    </row>
    <row r="558" spans="38:38" ht="18" customHeight="1" x14ac:dyDescent="0.2">
      <c r="AL558" s="1"/>
    </row>
    <row r="559" spans="38:38" ht="18" customHeight="1" x14ac:dyDescent="0.2">
      <c r="AL559" s="1"/>
    </row>
    <row r="560" spans="38:38" ht="18" customHeight="1" x14ac:dyDescent="0.2">
      <c r="AL560" s="1"/>
    </row>
    <row r="561" spans="38:38" ht="18" customHeight="1" x14ac:dyDescent="0.2">
      <c r="AL561" s="1"/>
    </row>
    <row r="562" spans="38:38" ht="18" customHeight="1" x14ac:dyDescent="0.2">
      <c r="AL562" s="1"/>
    </row>
    <row r="563" spans="38:38" ht="18" customHeight="1" x14ac:dyDescent="0.2">
      <c r="AL563" s="1"/>
    </row>
    <row r="564" spans="38:38" ht="18" customHeight="1" x14ac:dyDescent="0.2">
      <c r="AL564" s="1"/>
    </row>
    <row r="565" spans="38:38" ht="18" customHeight="1" x14ac:dyDescent="0.2">
      <c r="AL565" s="1"/>
    </row>
    <row r="566" spans="38:38" ht="18" customHeight="1" x14ac:dyDescent="0.2">
      <c r="AL566" s="1"/>
    </row>
    <row r="567" spans="38:38" ht="18" customHeight="1" x14ac:dyDescent="0.2">
      <c r="AL567" s="1"/>
    </row>
    <row r="568" spans="38:38" ht="18" customHeight="1" x14ac:dyDescent="0.2">
      <c r="AL568" s="1"/>
    </row>
    <row r="569" spans="38:38" ht="18" customHeight="1" x14ac:dyDescent="0.2">
      <c r="AL569" s="1"/>
    </row>
    <row r="570" spans="38:38" ht="18" customHeight="1" x14ac:dyDescent="0.2">
      <c r="AL570" s="1"/>
    </row>
    <row r="571" spans="38:38" ht="18" customHeight="1" x14ac:dyDescent="0.2">
      <c r="AL571" s="1"/>
    </row>
    <row r="572" spans="38:38" ht="18" customHeight="1" x14ac:dyDescent="0.2">
      <c r="AL572" s="1"/>
    </row>
    <row r="573" spans="38:38" ht="18" customHeight="1" x14ac:dyDescent="0.2">
      <c r="AL573" s="1"/>
    </row>
    <row r="574" spans="38:38" ht="18" customHeight="1" x14ac:dyDescent="0.2">
      <c r="AL574" s="1"/>
    </row>
    <row r="575" spans="38:38" ht="18" customHeight="1" x14ac:dyDescent="0.2">
      <c r="AL575" s="1"/>
    </row>
    <row r="576" spans="38:38" ht="18" customHeight="1" x14ac:dyDescent="0.2">
      <c r="AL576" s="1"/>
    </row>
    <row r="577" spans="38:38" ht="18" customHeight="1" x14ac:dyDescent="0.2">
      <c r="AL577" s="1"/>
    </row>
    <row r="578" spans="38:38" ht="18" customHeight="1" x14ac:dyDescent="0.2">
      <c r="AL578" s="1"/>
    </row>
    <row r="579" spans="38:38" ht="18" customHeight="1" x14ac:dyDescent="0.2">
      <c r="AL579" s="1"/>
    </row>
    <row r="580" spans="38:38" ht="18" customHeight="1" x14ac:dyDescent="0.2">
      <c r="AL580" s="1"/>
    </row>
    <row r="581" spans="38:38" ht="18" customHeight="1" x14ac:dyDescent="0.2">
      <c r="AL581" s="1"/>
    </row>
    <row r="582" spans="38:38" ht="18" customHeight="1" x14ac:dyDescent="0.2">
      <c r="AL582" s="1"/>
    </row>
    <row r="583" spans="38:38" ht="18" customHeight="1" x14ac:dyDescent="0.2">
      <c r="AL583" s="1"/>
    </row>
    <row r="584" spans="38:38" ht="18" customHeight="1" x14ac:dyDescent="0.2">
      <c r="AL584" s="1"/>
    </row>
    <row r="585" spans="38:38" ht="18" customHeight="1" x14ac:dyDescent="0.2">
      <c r="AL585" s="1"/>
    </row>
    <row r="586" spans="38:38" ht="18" customHeight="1" x14ac:dyDescent="0.2">
      <c r="AL586" s="1"/>
    </row>
    <row r="587" spans="38:38" ht="18" customHeight="1" x14ac:dyDescent="0.2">
      <c r="AL587" s="1"/>
    </row>
    <row r="588" spans="38:38" ht="18" customHeight="1" x14ac:dyDescent="0.2">
      <c r="AL588" s="1"/>
    </row>
    <row r="589" spans="38:38" ht="18" customHeight="1" x14ac:dyDescent="0.2">
      <c r="AL589" s="1"/>
    </row>
    <row r="590" spans="38:38" ht="18" customHeight="1" x14ac:dyDescent="0.2">
      <c r="AL590" s="1"/>
    </row>
    <row r="591" spans="38:38" ht="18" customHeight="1" x14ac:dyDescent="0.2">
      <c r="AL591" s="1"/>
    </row>
    <row r="592" spans="38:38" ht="18" customHeight="1" x14ac:dyDescent="0.2">
      <c r="AL592" s="1"/>
    </row>
    <row r="593" spans="38:38" ht="18" customHeight="1" x14ac:dyDescent="0.2">
      <c r="AL593" s="1"/>
    </row>
    <row r="594" spans="38:38" ht="18" customHeight="1" x14ac:dyDescent="0.2">
      <c r="AL594" s="1"/>
    </row>
    <row r="595" spans="38:38" ht="18" customHeight="1" x14ac:dyDescent="0.2">
      <c r="AL595" s="1"/>
    </row>
    <row r="596" spans="38:38" ht="18" customHeight="1" x14ac:dyDescent="0.2">
      <c r="AL596" s="1"/>
    </row>
    <row r="597" spans="38:38" ht="18" customHeight="1" x14ac:dyDescent="0.2">
      <c r="AL597" s="1"/>
    </row>
    <row r="598" spans="38:38" ht="18" customHeight="1" x14ac:dyDescent="0.2">
      <c r="AL598" s="1"/>
    </row>
    <row r="599" spans="38:38" ht="18" customHeight="1" x14ac:dyDescent="0.2">
      <c r="AL599" s="1"/>
    </row>
    <row r="600" spans="38:38" ht="18" customHeight="1" x14ac:dyDescent="0.2">
      <c r="AL600" s="1"/>
    </row>
    <row r="601" spans="38:38" ht="18" customHeight="1" x14ac:dyDescent="0.2">
      <c r="AL601" s="1"/>
    </row>
    <row r="602" spans="38:38" ht="18" customHeight="1" x14ac:dyDescent="0.2">
      <c r="AL602" s="1"/>
    </row>
    <row r="603" spans="38:38" ht="18" customHeight="1" x14ac:dyDescent="0.2">
      <c r="AL603" s="1"/>
    </row>
    <row r="604" spans="38:38" ht="18" customHeight="1" x14ac:dyDescent="0.2">
      <c r="AL604" s="1"/>
    </row>
    <row r="605" spans="38:38" ht="18" customHeight="1" x14ac:dyDescent="0.2">
      <c r="AL605" s="1"/>
    </row>
    <row r="606" spans="38:38" ht="18" customHeight="1" x14ac:dyDescent="0.2">
      <c r="AL606" s="1"/>
    </row>
    <row r="607" spans="38:38" ht="18" customHeight="1" x14ac:dyDescent="0.2">
      <c r="AL607" s="1"/>
    </row>
    <row r="608" spans="38:38" ht="18" customHeight="1" x14ac:dyDescent="0.2">
      <c r="AL608" s="1"/>
    </row>
    <row r="609" spans="38:38" ht="18" customHeight="1" x14ac:dyDescent="0.2">
      <c r="AL609" s="1"/>
    </row>
    <row r="610" spans="38:38" ht="18" customHeight="1" x14ac:dyDescent="0.2">
      <c r="AL610" s="1"/>
    </row>
    <row r="611" spans="38:38" ht="18" customHeight="1" x14ac:dyDescent="0.2">
      <c r="AL611" s="1"/>
    </row>
    <row r="612" spans="38:38" ht="18" customHeight="1" x14ac:dyDescent="0.2">
      <c r="AL612" s="1"/>
    </row>
    <row r="613" spans="38:38" ht="18" customHeight="1" x14ac:dyDescent="0.2">
      <c r="AL613" s="1"/>
    </row>
    <row r="614" spans="38:38" ht="18" customHeight="1" x14ac:dyDescent="0.2">
      <c r="AL614" s="1"/>
    </row>
    <row r="615" spans="38:38" ht="18" customHeight="1" x14ac:dyDescent="0.2">
      <c r="AL615" s="1"/>
    </row>
    <row r="616" spans="38:38" ht="18" customHeight="1" x14ac:dyDescent="0.2">
      <c r="AL616" s="1"/>
    </row>
    <row r="617" spans="38:38" ht="18" customHeight="1" x14ac:dyDescent="0.2">
      <c r="AL617" s="1"/>
    </row>
    <row r="618" spans="38:38" ht="18" customHeight="1" x14ac:dyDescent="0.2">
      <c r="AL618" s="1"/>
    </row>
    <row r="619" spans="38:38" ht="18" customHeight="1" x14ac:dyDescent="0.2">
      <c r="AL619" s="1"/>
    </row>
    <row r="620" spans="38:38" ht="18" customHeight="1" x14ac:dyDescent="0.2">
      <c r="AL620" s="1"/>
    </row>
    <row r="621" spans="38:38" ht="18" customHeight="1" x14ac:dyDescent="0.2">
      <c r="AL621" s="1"/>
    </row>
    <row r="622" spans="38:38" ht="18" customHeight="1" x14ac:dyDescent="0.2">
      <c r="AL622" s="1"/>
    </row>
    <row r="623" spans="38:38" ht="18" customHeight="1" x14ac:dyDescent="0.2">
      <c r="AL623" s="1"/>
    </row>
    <row r="624" spans="38:38" ht="18" customHeight="1" x14ac:dyDescent="0.2">
      <c r="AL624" s="1"/>
    </row>
    <row r="625" spans="38:38" ht="18" customHeight="1" x14ac:dyDescent="0.2">
      <c r="AL625" s="1"/>
    </row>
    <row r="626" spans="38:38" ht="18" customHeight="1" x14ac:dyDescent="0.2">
      <c r="AL626" s="1"/>
    </row>
    <row r="627" spans="38:38" ht="18" customHeight="1" x14ac:dyDescent="0.2">
      <c r="AL627" s="1"/>
    </row>
    <row r="628" spans="38:38" ht="18" customHeight="1" x14ac:dyDescent="0.2">
      <c r="AL628" s="1"/>
    </row>
    <row r="629" spans="38:38" ht="18" customHeight="1" x14ac:dyDescent="0.2">
      <c r="AL629" s="1"/>
    </row>
    <row r="630" spans="38:38" ht="18" customHeight="1" x14ac:dyDescent="0.2">
      <c r="AL630" s="1"/>
    </row>
    <row r="631" spans="38:38" ht="18" customHeight="1" x14ac:dyDescent="0.2">
      <c r="AL631" s="1"/>
    </row>
    <row r="632" spans="38:38" ht="18" customHeight="1" x14ac:dyDescent="0.2">
      <c r="AL632" s="1"/>
    </row>
    <row r="633" spans="38:38" ht="18" customHeight="1" x14ac:dyDescent="0.2">
      <c r="AL633" s="1"/>
    </row>
    <row r="634" spans="38:38" ht="18" customHeight="1" x14ac:dyDescent="0.2">
      <c r="AL634" s="1"/>
    </row>
    <row r="635" spans="38:38" ht="18" customHeight="1" x14ac:dyDescent="0.2">
      <c r="AL635" s="1"/>
    </row>
    <row r="636" spans="38:38" ht="18" customHeight="1" x14ac:dyDescent="0.2">
      <c r="AL636" s="1"/>
    </row>
    <row r="637" spans="38:38" ht="18" customHeight="1" x14ac:dyDescent="0.2">
      <c r="AL637" s="1"/>
    </row>
    <row r="638" spans="38:38" ht="18" customHeight="1" x14ac:dyDescent="0.2">
      <c r="AL638" s="1"/>
    </row>
    <row r="639" spans="38:38" ht="18" customHeight="1" x14ac:dyDescent="0.2">
      <c r="AL639" s="1"/>
    </row>
    <row r="640" spans="38:38" ht="18" customHeight="1" x14ac:dyDescent="0.2">
      <c r="AL640" s="1"/>
    </row>
    <row r="641" spans="38:38" ht="18" customHeight="1" x14ac:dyDescent="0.2">
      <c r="AL641" s="1"/>
    </row>
    <row r="642" spans="38:38" ht="18" customHeight="1" x14ac:dyDescent="0.2">
      <c r="AL642" s="1"/>
    </row>
    <row r="643" spans="38:38" ht="18" customHeight="1" x14ac:dyDescent="0.2">
      <c r="AL643" s="1"/>
    </row>
    <row r="644" spans="38:38" ht="18" customHeight="1" x14ac:dyDescent="0.2">
      <c r="AL644" s="1"/>
    </row>
    <row r="645" spans="38:38" ht="18" customHeight="1" x14ac:dyDescent="0.2">
      <c r="AL645" s="1"/>
    </row>
    <row r="646" spans="38:38" ht="18" customHeight="1" x14ac:dyDescent="0.2">
      <c r="AL646" s="1"/>
    </row>
    <row r="647" spans="38:38" ht="18" customHeight="1" x14ac:dyDescent="0.2">
      <c r="AL647" s="1"/>
    </row>
    <row r="648" spans="38:38" ht="18" customHeight="1" x14ac:dyDescent="0.2">
      <c r="AL648" s="1"/>
    </row>
    <row r="649" spans="38:38" ht="18" customHeight="1" x14ac:dyDescent="0.2">
      <c r="AL649" s="1"/>
    </row>
    <row r="650" spans="38:38" ht="18" customHeight="1" x14ac:dyDescent="0.2">
      <c r="AL650" s="1"/>
    </row>
    <row r="651" spans="38:38" ht="18" customHeight="1" x14ac:dyDescent="0.2">
      <c r="AL651" s="1"/>
    </row>
    <row r="652" spans="38:38" ht="18" customHeight="1" x14ac:dyDescent="0.2">
      <c r="AL652" s="1"/>
    </row>
    <row r="653" spans="38:38" ht="18" customHeight="1" x14ac:dyDescent="0.2">
      <c r="AL653" s="1"/>
    </row>
    <row r="654" spans="38:38" ht="18" customHeight="1" x14ac:dyDescent="0.2">
      <c r="AL654" s="1"/>
    </row>
    <row r="655" spans="38:38" ht="18" customHeight="1" x14ac:dyDescent="0.2">
      <c r="AL655" s="1"/>
    </row>
    <row r="656" spans="38:38" ht="18" customHeight="1" x14ac:dyDescent="0.2">
      <c r="AL656" s="1"/>
    </row>
    <row r="657" spans="38:38" ht="18" customHeight="1" x14ac:dyDescent="0.2">
      <c r="AL657" s="1"/>
    </row>
    <row r="658" spans="38:38" ht="18" customHeight="1" x14ac:dyDescent="0.2">
      <c r="AL658" s="1"/>
    </row>
    <row r="659" spans="38:38" ht="18" customHeight="1" x14ac:dyDescent="0.2">
      <c r="AL659" s="1"/>
    </row>
    <row r="660" spans="38:38" ht="18" customHeight="1" x14ac:dyDescent="0.2">
      <c r="AL660" s="1"/>
    </row>
    <row r="661" spans="38:38" ht="18" customHeight="1" x14ac:dyDescent="0.2">
      <c r="AL661" s="1"/>
    </row>
    <row r="662" spans="38:38" ht="18" customHeight="1" x14ac:dyDescent="0.2">
      <c r="AL662" s="1"/>
    </row>
    <row r="663" spans="38:38" ht="18" customHeight="1" x14ac:dyDescent="0.2">
      <c r="AL663" s="1"/>
    </row>
    <row r="664" spans="38:38" ht="18" customHeight="1" x14ac:dyDescent="0.2">
      <c r="AL664" s="1"/>
    </row>
    <row r="665" spans="38:38" ht="18" customHeight="1" x14ac:dyDescent="0.2">
      <c r="AL665" s="1"/>
    </row>
    <row r="666" spans="38:38" ht="18" customHeight="1" x14ac:dyDescent="0.2">
      <c r="AL666" s="1"/>
    </row>
    <row r="667" spans="38:38" ht="18" customHeight="1" x14ac:dyDescent="0.2">
      <c r="AL667" s="1"/>
    </row>
    <row r="668" spans="38:38" ht="18" customHeight="1" x14ac:dyDescent="0.2">
      <c r="AL668" s="1"/>
    </row>
    <row r="669" spans="38:38" ht="18" customHeight="1" x14ac:dyDescent="0.2">
      <c r="AL669" s="1"/>
    </row>
    <row r="670" spans="38:38" ht="18" customHeight="1" x14ac:dyDescent="0.2">
      <c r="AL670" s="1"/>
    </row>
    <row r="671" spans="38:38" ht="18" customHeight="1" x14ac:dyDescent="0.2">
      <c r="AL671" s="1"/>
    </row>
    <row r="672" spans="38:38" ht="18" customHeight="1" x14ac:dyDescent="0.2">
      <c r="AL672" s="1"/>
    </row>
    <row r="673" spans="38:38" ht="18" customHeight="1" x14ac:dyDescent="0.2">
      <c r="AL673" s="1"/>
    </row>
    <row r="674" spans="38:38" ht="18" customHeight="1" x14ac:dyDescent="0.2">
      <c r="AL674" s="1"/>
    </row>
    <row r="675" spans="38:38" ht="18" customHeight="1" x14ac:dyDescent="0.2">
      <c r="AL675" s="1"/>
    </row>
    <row r="676" spans="38:38" ht="18" customHeight="1" x14ac:dyDescent="0.2">
      <c r="AL676" s="1"/>
    </row>
    <row r="677" spans="38:38" ht="18" customHeight="1" x14ac:dyDescent="0.2">
      <c r="AL677" s="1"/>
    </row>
    <row r="678" spans="38:38" ht="18" customHeight="1" x14ac:dyDescent="0.2">
      <c r="AL678" s="1"/>
    </row>
    <row r="679" spans="38:38" ht="18" customHeight="1" x14ac:dyDescent="0.2">
      <c r="AL679" s="1"/>
    </row>
    <row r="680" spans="38:38" ht="18" customHeight="1" x14ac:dyDescent="0.2">
      <c r="AL680" s="1"/>
    </row>
    <row r="681" spans="38:38" ht="18" customHeight="1" x14ac:dyDescent="0.2">
      <c r="AL681" s="1"/>
    </row>
    <row r="682" spans="38:38" ht="18" customHeight="1" x14ac:dyDescent="0.2">
      <c r="AL682" s="1"/>
    </row>
    <row r="683" spans="38:38" ht="18" customHeight="1" x14ac:dyDescent="0.2">
      <c r="AL683" s="1"/>
    </row>
    <row r="684" spans="38:38" ht="18" customHeight="1" x14ac:dyDescent="0.2">
      <c r="AL684" s="1"/>
    </row>
    <row r="685" spans="38:38" ht="18" customHeight="1" x14ac:dyDescent="0.2">
      <c r="AL685" s="1"/>
    </row>
    <row r="686" spans="38:38" ht="18" customHeight="1" x14ac:dyDescent="0.2">
      <c r="AL686" s="1"/>
    </row>
    <row r="687" spans="38:38" ht="18" customHeight="1" x14ac:dyDescent="0.2">
      <c r="AL687" s="1"/>
    </row>
    <row r="688" spans="38:38" ht="18" customHeight="1" x14ac:dyDescent="0.2">
      <c r="AL688" s="1"/>
    </row>
    <row r="689" spans="38:38" ht="18" customHeight="1" x14ac:dyDescent="0.2">
      <c r="AL689" s="1"/>
    </row>
    <row r="690" spans="38:38" ht="18" customHeight="1" x14ac:dyDescent="0.2">
      <c r="AL690" s="1"/>
    </row>
    <row r="691" spans="38:38" ht="18" customHeight="1" x14ac:dyDescent="0.2">
      <c r="AL691" s="1"/>
    </row>
    <row r="692" spans="38:38" ht="18" customHeight="1" x14ac:dyDescent="0.2">
      <c r="AL692" s="1"/>
    </row>
    <row r="693" spans="38:38" ht="18" customHeight="1" x14ac:dyDescent="0.2">
      <c r="AL693" s="1"/>
    </row>
    <row r="694" spans="38:38" ht="18" customHeight="1" x14ac:dyDescent="0.2">
      <c r="AL694" s="1"/>
    </row>
    <row r="695" spans="38:38" ht="18" customHeight="1" x14ac:dyDescent="0.2">
      <c r="AL695" s="1"/>
    </row>
    <row r="696" spans="38:38" ht="18" customHeight="1" x14ac:dyDescent="0.2">
      <c r="AL696" s="1"/>
    </row>
    <row r="697" spans="38:38" ht="18" customHeight="1" x14ac:dyDescent="0.2">
      <c r="AL697" s="1"/>
    </row>
    <row r="698" spans="38:38" ht="18" customHeight="1" x14ac:dyDescent="0.2">
      <c r="AL698" s="1"/>
    </row>
    <row r="699" spans="38:38" ht="18" customHeight="1" x14ac:dyDescent="0.2">
      <c r="AL699" s="1"/>
    </row>
    <row r="700" spans="38:38" ht="18" customHeight="1" x14ac:dyDescent="0.2">
      <c r="AL700" s="1"/>
    </row>
    <row r="701" spans="38:38" ht="18" customHeight="1" x14ac:dyDescent="0.2">
      <c r="AL701" s="1"/>
    </row>
    <row r="702" spans="38:38" ht="18" customHeight="1" x14ac:dyDescent="0.2">
      <c r="AL702" s="1"/>
    </row>
    <row r="703" spans="38:38" ht="18" customHeight="1" x14ac:dyDescent="0.2">
      <c r="AL703" s="1"/>
    </row>
    <row r="704" spans="38:38" ht="18" customHeight="1" x14ac:dyDescent="0.2">
      <c r="AL704" s="1"/>
    </row>
    <row r="705" spans="38:38" ht="18" customHeight="1" x14ac:dyDescent="0.2">
      <c r="AL705" s="1"/>
    </row>
    <row r="706" spans="38:38" ht="18" customHeight="1" x14ac:dyDescent="0.2">
      <c r="AL706" s="1"/>
    </row>
    <row r="707" spans="38:38" ht="18" customHeight="1" x14ac:dyDescent="0.2">
      <c r="AL707" s="1"/>
    </row>
    <row r="708" spans="38:38" ht="18" customHeight="1" x14ac:dyDescent="0.2">
      <c r="AL708" s="1"/>
    </row>
    <row r="709" spans="38:38" ht="18" customHeight="1" x14ac:dyDescent="0.2">
      <c r="AL709" s="1"/>
    </row>
    <row r="710" spans="38:38" ht="18" customHeight="1" x14ac:dyDescent="0.2">
      <c r="AL710" s="1"/>
    </row>
    <row r="711" spans="38:38" ht="18" customHeight="1" x14ac:dyDescent="0.2">
      <c r="AL711" s="1"/>
    </row>
    <row r="712" spans="38:38" ht="18" customHeight="1" x14ac:dyDescent="0.2">
      <c r="AL712" s="1"/>
    </row>
    <row r="713" spans="38:38" ht="18" customHeight="1" x14ac:dyDescent="0.2">
      <c r="AL713" s="1"/>
    </row>
    <row r="714" spans="38:38" ht="18" customHeight="1" x14ac:dyDescent="0.2">
      <c r="AL714" s="1"/>
    </row>
    <row r="715" spans="38:38" ht="18" customHeight="1" x14ac:dyDescent="0.2">
      <c r="AL715" s="1"/>
    </row>
    <row r="716" spans="38:38" ht="18" customHeight="1" x14ac:dyDescent="0.2">
      <c r="AL716" s="1"/>
    </row>
    <row r="717" spans="38:38" ht="18" customHeight="1" x14ac:dyDescent="0.2">
      <c r="AL717" s="1"/>
    </row>
    <row r="718" spans="38:38" ht="18" customHeight="1" x14ac:dyDescent="0.2">
      <c r="AL718" s="1"/>
    </row>
    <row r="719" spans="38:38" ht="18" customHeight="1" x14ac:dyDescent="0.2">
      <c r="AL719" s="1"/>
    </row>
    <row r="720" spans="38:38" ht="18" customHeight="1" x14ac:dyDescent="0.2">
      <c r="AL720" s="1"/>
    </row>
    <row r="721" spans="38:38" ht="18" customHeight="1" x14ac:dyDescent="0.2">
      <c r="AL721" s="1"/>
    </row>
    <row r="722" spans="38:38" ht="18" customHeight="1" x14ac:dyDescent="0.2">
      <c r="AL722" s="1"/>
    </row>
    <row r="723" spans="38:38" ht="18" customHeight="1" x14ac:dyDescent="0.2">
      <c r="AL723" s="1"/>
    </row>
    <row r="724" spans="38:38" ht="18" customHeight="1" x14ac:dyDescent="0.2">
      <c r="AL724" s="1"/>
    </row>
    <row r="725" spans="38:38" ht="18" customHeight="1" x14ac:dyDescent="0.2">
      <c r="AL725" s="1"/>
    </row>
    <row r="726" spans="38:38" ht="18" customHeight="1" x14ac:dyDescent="0.2">
      <c r="AL726" s="1"/>
    </row>
    <row r="727" spans="38:38" ht="18" customHeight="1" x14ac:dyDescent="0.2">
      <c r="AL727" s="1"/>
    </row>
    <row r="728" spans="38:38" ht="18" customHeight="1" x14ac:dyDescent="0.2">
      <c r="AL728" s="1"/>
    </row>
    <row r="729" spans="38:38" ht="18" customHeight="1" x14ac:dyDescent="0.2">
      <c r="AL729" s="1"/>
    </row>
    <row r="730" spans="38:38" ht="18" customHeight="1" x14ac:dyDescent="0.2">
      <c r="AL730" s="1"/>
    </row>
    <row r="731" spans="38:38" ht="18" customHeight="1" x14ac:dyDescent="0.2">
      <c r="AL731" s="1"/>
    </row>
    <row r="732" spans="38:38" ht="18" customHeight="1" x14ac:dyDescent="0.2">
      <c r="AL732" s="1"/>
    </row>
    <row r="733" spans="38:38" ht="18" customHeight="1" x14ac:dyDescent="0.2">
      <c r="AL733" s="1"/>
    </row>
    <row r="734" spans="38:38" ht="18" customHeight="1" x14ac:dyDescent="0.2">
      <c r="AL734" s="1"/>
    </row>
    <row r="735" spans="38:38" ht="18" customHeight="1" x14ac:dyDescent="0.2">
      <c r="AL735" s="1"/>
    </row>
    <row r="736" spans="38:38" ht="18" customHeight="1" x14ac:dyDescent="0.2">
      <c r="AL736" s="1"/>
    </row>
    <row r="737" spans="38:38" ht="18" customHeight="1" x14ac:dyDescent="0.2">
      <c r="AL737" s="1"/>
    </row>
    <row r="738" spans="38:38" ht="18" customHeight="1" x14ac:dyDescent="0.2">
      <c r="AL738" s="1"/>
    </row>
    <row r="739" spans="38:38" ht="18" customHeight="1" x14ac:dyDescent="0.2">
      <c r="AL739" s="1"/>
    </row>
    <row r="740" spans="38:38" ht="18" customHeight="1" x14ac:dyDescent="0.2">
      <c r="AL740" s="1"/>
    </row>
    <row r="741" spans="38:38" ht="18" customHeight="1" x14ac:dyDescent="0.2">
      <c r="AL741" s="1"/>
    </row>
    <row r="742" spans="38:38" ht="18" customHeight="1" x14ac:dyDescent="0.2">
      <c r="AL742" s="1"/>
    </row>
    <row r="743" spans="38:38" ht="18" customHeight="1" x14ac:dyDescent="0.2">
      <c r="AL743" s="1"/>
    </row>
    <row r="744" spans="38:38" ht="18" customHeight="1" x14ac:dyDescent="0.2">
      <c r="AL744" s="1"/>
    </row>
    <row r="745" spans="38:38" ht="18" customHeight="1" x14ac:dyDescent="0.2">
      <c r="AL745" s="1"/>
    </row>
    <row r="746" spans="38:38" ht="18" customHeight="1" x14ac:dyDescent="0.2">
      <c r="AL746" s="1"/>
    </row>
    <row r="747" spans="38:38" ht="18" customHeight="1" x14ac:dyDescent="0.2">
      <c r="AL747" s="1"/>
    </row>
    <row r="748" spans="38:38" ht="18" customHeight="1" x14ac:dyDescent="0.2">
      <c r="AL748" s="1"/>
    </row>
    <row r="749" spans="38:38" ht="18" customHeight="1" x14ac:dyDescent="0.2">
      <c r="AL749" s="1"/>
    </row>
    <row r="750" spans="38:38" ht="18" customHeight="1" x14ac:dyDescent="0.2">
      <c r="AL750" s="1"/>
    </row>
    <row r="751" spans="38:38" ht="18" customHeight="1" x14ac:dyDescent="0.2">
      <c r="AL751" s="1"/>
    </row>
    <row r="752" spans="38:38" ht="18" customHeight="1" x14ac:dyDescent="0.2">
      <c r="AL752" s="1"/>
    </row>
    <row r="753" spans="38:38" ht="18" customHeight="1" x14ac:dyDescent="0.2">
      <c r="AL753" s="1"/>
    </row>
    <row r="754" spans="38:38" ht="18" customHeight="1" x14ac:dyDescent="0.2">
      <c r="AL754" s="1"/>
    </row>
    <row r="755" spans="38:38" ht="18" customHeight="1" x14ac:dyDescent="0.2">
      <c r="AL755" s="1"/>
    </row>
    <row r="756" spans="38:38" ht="18" customHeight="1" x14ac:dyDescent="0.2">
      <c r="AL756" s="1"/>
    </row>
    <row r="757" spans="38:38" ht="18" customHeight="1" x14ac:dyDescent="0.2">
      <c r="AL757" s="1"/>
    </row>
    <row r="758" spans="38:38" ht="18" customHeight="1" x14ac:dyDescent="0.2">
      <c r="AL758" s="1"/>
    </row>
    <row r="759" spans="38:38" ht="18" customHeight="1" x14ac:dyDescent="0.2">
      <c r="AL759" s="1"/>
    </row>
    <row r="760" spans="38:38" ht="18" customHeight="1" x14ac:dyDescent="0.2">
      <c r="AL760" s="1"/>
    </row>
    <row r="761" spans="38:38" ht="18" customHeight="1" x14ac:dyDescent="0.2">
      <c r="AL761" s="1"/>
    </row>
    <row r="762" spans="38:38" ht="18" customHeight="1" x14ac:dyDescent="0.2">
      <c r="AL762" s="1"/>
    </row>
    <row r="763" spans="38:38" ht="18" customHeight="1" x14ac:dyDescent="0.2">
      <c r="AL763" s="1"/>
    </row>
    <row r="764" spans="38:38" ht="18" customHeight="1" x14ac:dyDescent="0.2">
      <c r="AL764" s="1"/>
    </row>
    <row r="765" spans="38:38" ht="18" customHeight="1" x14ac:dyDescent="0.2">
      <c r="AL765" s="1"/>
    </row>
    <row r="766" spans="38:38" ht="18" customHeight="1" x14ac:dyDescent="0.2">
      <c r="AL766" s="1"/>
    </row>
    <row r="767" spans="38:38" ht="18" customHeight="1" x14ac:dyDescent="0.2">
      <c r="AL767" s="1"/>
    </row>
    <row r="768" spans="38:38" ht="18" customHeight="1" x14ac:dyDescent="0.2">
      <c r="AL768" s="1"/>
    </row>
    <row r="769" spans="38:38" ht="18" customHeight="1" x14ac:dyDescent="0.2">
      <c r="AL769" s="1"/>
    </row>
    <row r="770" spans="38:38" ht="18" customHeight="1" x14ac:dyDescent="0.2">
      <c r="AL770" s="1"/>
    </row>
    <row r="771" spans="38:38" ht="18" customHeight="1" x14ac:dyDescent="0.2">
      <c r="AL771" s="1"/>
    </row>
    <row r="772" spans="38:38" ht="18" customHeight="1" x14ac:dyDescent="0.2">
      <c r="AL772" s="1"/>
    </row>
    <row r="773" spans="38:38" ht="18" customHeight="1" x14ac:dyDescent="0.2">
      <c r="AL773" s="1"/>
    </row>
    <row r="774" spans="38:38" ht="18" customHeight="1" x14ac:dyDescent="0.2">
      <c r="AL774" s="1"/>
    </row>
    <row r="775" spans="38:38" ht="18" customHeight="1" x14ac:dyDescent="0.2">
      <c r="AL775" s="1"/>
    </row>
    <row r="776" spans="38:38" ht="18" customHeight="1" x14ac:dyDescent="0.2">
      <c r="AL776" s="1"/>
    </row>
    <row r="777" spans="38:38" ht="18" customHeight="1" x14ac:dyDescent="0.2">
      <c r="AL777" s="1"/>
    </row>
    <row r="778" spans="38:38" ht="18" customHeight="1" x14ac:dyDescent="0.2">
      <c r="AL778" s="1"/>
    </row>
    <row r="779" spans="38:38" ht="18" customHeight="1" x14ac:dyDescent="0.2">
      <c r="AL779" s="1"/>
    </row>
    <row r="780" spans="38:38" ht="18" customHeight="1" x14ac:dyDescent="0.2">
      <c r="AL780" s="1"/>
    </row>
    <row r="781" spans="38:38" ht="18" customHeight="1" x14ac:dyDescent="0.2">
      <c r="AL781" s="1"/>
    </row>
    <row r="782" spans="38:38" ht="18" customHeight="1" x14ac:dyDescent="0.2">
      <c r="AL782" s="1"/>
    </row>
    <row r="783" spans="38:38" ht="18" customHeight="1" x14ac:dyDescent="0.2">
      <c r="AL783" s="1"/>
    </row>
    <row r="784" spans="38:38" ht="18" customHeight="1" x14ac:dyDescent="0.2">
      <c r="AL784" s="1"/>
    </row>
    <row r="785" spans="38:38" ht="18" customHeight="1" x14ac:dyDescent="0.2">
      <c r="AL785" s="1"/>
    </row>
    <row r="786" spans="38:38" ht="18" customHeight="1" x14ac:dyDescent="0.2">
      <c r="AL786" s="1"/>
    </row>
    <row r="787" spans="38:38" ht="18" customHeight="1" x14ac:dyDescent="0.2">
      <c r="AL787" s="1"/>
    </row>
    <row r="788" spans="38:38" ht="18" customHeight="1" x14ac:dyDescent="0.2">
      <c r="AL788" s="1"/>
    </row>
    <row r="789" spans="38:38" ht="18" customHeight="1" x14ac:dyDescent="0.2">
      <c r="AL789" s="1"/>
    </row>
    <row r="790" spans="38:38" ht="18" customHeight="1" x14ac:dyDescent="0.2">
      <c r="AL790" s="1"/>
    </row>
    <row r="791" spans="38:38" ht="18" customHeight="1" x14ac:dyDescent="0.2">
      <c r="AL791" s="1"/>
    </row>
    <row r="792" spans="38:38" ht="18" customHeight="1" x14ac:dyDescent="0.2">
      <c r="AL792" s="1"/>
    </row>
    <row r="793" spans="38:38" ht="18" customHeight="1" x14ac:dyDescent="0.2">
      <c r="AL793" s="1"/>
    </row>
    <row r="794" spans="38:38" ht="18" customHeight="1" x14ac:dyDescent="0.2">
      <c r="AL794" s="1"/>
    </row>
    <row r="795" spans="38:38" ht="18" customHeight="1" x14ac:dyDescent="0.2">
      <c r="AL795" s="1"/>
    </row>
    <row r="796" spans="38:38" ht="18" customHeight="1" x14ac:dyDescent="0.2">
      <c r="AL796" s="1"/>
    </row>
    <row r="797" spans="38:38" ht="18" customHeight="1" x14ac:dyDescent="0.2">
      <c r="AL797" s="1"/>
    </row>
    <row r="798" spans="38:38" ht="18" customHeight="1" x14ac:dyDescent="0.2">
      <c r="AL798" s="1"/>
    </row>
    <row r="799" spans="38:38" ht="18" customHeight="1" x14ac:dyDescent="0.2">
      <c r="AL799" s="1"/>
    </row>
    <row r="800" spans="38:38" ht="18" customHeight="1" x14ac:dyDescent="0.2">
      <c r="AL800" s="1"/>
    </row>
    <row r="801" spans="38:38" ht="18" customHeight="1" x14ac:dyDescent="0.2">
      <c r="AL801" s="1"/>
    </row>
    <row r="802" spans="38:38" ht="18" customHeight="1" x14ac:dyDescent="0.2">
      <c r="AL802" s="1"/>
    </row>
    <row r="803" spans="38:38" ht="18" customHeight="1" x14ac:dyDescent="0.2">
      <c r="AL803" s="1"/>
    </row>
    <row r="804" spans="38:38" ht="18" customHeight="1" x14ac:dyDescent="0.2">
      <c r="AL804" s="1"/>
    </row>
    <row r="805" spans="38:38" ht="18" customHeight="1" x14ac:dyDescent="0.2">
      <c r="AL805" s="1"/>
    </row>
    <row r="806" spans="38:38" ht="18" customHeight="1" x14ac:dyDescent="0.2">
      <c r="AL806" s="1"/>
    </row>
    <row r="807" spans="38:38" ht="18" customHeight="1" x14ac:dyDescent="0.2">
      <c r="AL807" s="1"/>
    </row>
    <row r="808" spans="38:38" ht="18" customHeight="1" x14ac:dyDescent="0.2">
      <c r="AL808" s="1"/>
    </row>
    <row r="809" spans="38:38" ht="18" customHeight="1" x14ac:dyDescent="0.2">
      <c r="AL809" s="1"/>
    </row>
    <row r="810" spans="38:38" ht="18" customHeight="1" x14ac:dyDescent="0.2">
      <c r="AL810" s="1"/>
    </row>
    <row r="811" spans="38:38" ht="18" customHeight="1" x14ac:dyDescent="0.2">
      <c r="AL811" s="1"/>
    </row>
    <row r="812" spans="38:38" ht="18" customHeight="1" x14ac:dyDescent="0.2">
      <c r="AL812" s="1"/>
    </row>
    <row r="813" spans="38:38" ht="18" customHeight="1" x14ac:dyDescent="0.2">
      <c r="AL813" s="1"/>
    </row>
    <row r="814" spans="38:38" ht="18" customHeight="1" x14ac:dyDescent="0.2">
      <c r="AL814" s="1"/>
    </row>
    <row r="815" spans="38:38" ht="18" customHeight="1" x14ac:dyDescent="0.2">
      <c r="AL815" s="1"/>
    </row>
    <row r="816" spans="38:38" ht="18" customHeight="1" x14ac:dyDescent="0.2">
      <c r="AL816" s="1"/>
    </row>
    <row r="817" spans="38:38" ht="18" customHeight="1" x14ac:dyDescent="0.2">
      <c r="AL817" s="1"/>
    </row>
    <row r="818" spans="38:38" ht="18" customHeight="1" x14ac:dyDescent="0.2">
      <c r="AL818" s="1"/>
    </row>
    <row r="819" spans="38:38" ht="18" customHeight="1" x14ac:dyDescent="0.2">
      <c r="AL819" s="1"/>
    </row>
    <row r="820" spans="38:38" ht="18" customHeight="1" x14ac:dyDescent="0.2">
      <c r="AL820" s="1"/>
    </row>
    <row r="821" spans="38:38" ht="18" customHeight="1" x14ac:dyDescent="0.2">
      <c r="AL821" s="1"/>
    </row>
    <row r="822" spans="38:38" ht="18" customHeight="1" x14ac:dyDescent="0.2">
      <c r="AL822" s="1"/>
    </row>
    <row r="823" spans="38:38" ht="18" customHeight="1" x14ac:dyDescent="0.2">
      <c r="AL823" s="1"/>
    </row>
    <row r="824" spans="38:38" ht="18" customHeight="1" x14ac:dyDescent="0.2">
      <c r="AL824" s="1"/>
    </row>
    <row r="825" spans="38:38" ht="18" customHeight="1" x14ac:dyDescent="0.2">
      <c r="AL825" s="1"/>
    </row>
    <row r="826" spans="38:38" ht="18" customHeight="1" x14ac:dyDescent="0.2">
      <c r="AL826" s="1"/>
    </row>
    <row r="827" spans="38:38" ht="18" customHeight="1" x14ac:dyDescent="0.2">
      <c r="AL827" s="1"/>
    </row>
    <row r="828" spans="38:38" ht="18" customHeight="1" x14ac:dyDescent="0.2">
      <c r="AL828" s="1"/>
    </row>
    <row r="829" spans="38:38" ht="18" customHeight="1" x14ac:dyDescent="0.2">
      <c r="AL829" s="1"/>
    </row>
    <row r="830" spans="38:38" ht="18" customHeight="1" x14ac:dyDescent="0.2">
      <c r="AL830" s="1"/>
    </row>
    <row r="831" spans="38:38" ht="18" customHeight="1" x14ac:dyDescent="0.2">
      <c r="AL831" s="1"/>
    </row>
    <row r="832" spans="38:38" ht="18" customHeight="1" x14ac:dyDescent="0.2">
      <c r="AL832" s="1"/>
    </row>
    <row r="833" spans="38:38" ht="18" customHeight="1" x14ac:dyDescent="0.2">
      <c r="AL833" s="1"/>
    </row>
    <row r="834" spans="38:38" ht="18" customHeight="1" x14ac:dyDescent="0.2">
      <c r="AL834" s="1"/>
    </row>
    <row r="835" spans="38:38" ht="18" customHeight="1" x14ac:dyDescent="0.2">
      <c r="AL835" s="1"/>
    </row>
    <row r="836" spans="38:38" ht="18" customHeight="1" x14ac:dyDescent="0.2">
      <c r="AL836" s="1"/>
    </row>
    <row r="837" spans="38:38" ht="18" customHeight="1" x14ac:dyDescent="0.2">
      <c r="AL837" s="1"/>
    </row>
    <row r="838" spans="38:38" ht="18" customHeight="1" x14ac:dyDescent="0.2">
      <c r="AL838" s="1"/>
    </row>
    <row r="839" spans="38:38" ht="18" customHeight="1" x14ac:dyDescent="0.2">
      <c r="AL839" s="1"/>
    </row>
    <row r="840" spans="38:38" ht="18" customHeight="1" x14ac:dyDescent="0.2">
      <c r="AL840" s="1"/>
    </row>
    <row r="841" spans="38:38" ht="18" customHeight="1" x14ac:dyDescent="0.2">
      <c r="AL841" s="1"/>
    </row>
    <row r="842" spans="38:38" ht="18" customHeight="1" x14ac:dyDescent="0.2">
      <c r="AL842" s="1"/>
    </row>
    <row r="843" spans="38:38" ht="18" customHeight="1" x14ac:dyDescent="0.2">
      <c r="AL843" s="1"/>
    </row>
    <row r="844" spans="38:38" ht="18" customHeight="1" x14ac:dyDescent="0.2">
      <c r="AL844" s="1"/>
    </row>
    <row r="845" spans="38:38" ht="18" customHeight="1" x14ac:dyDescent="0.2">
      <c r="AL845" s="1"/>
    </row>
    <row r="846" spans="38:38" ht="18" customHeight="1" x14ac:dyDescent="0.2">
      <c r="AL846" s="1"/>
    </row>
    <row r="847" spans="38:38" ht="18" customHeight="1" x14ac:dyDescent="0.2">
      <c r="AL847" s="1"/>
    </row>
    <row r="848" spans="38:38" ht="18" customHeight="1" x14ac:dyDescent="0.2">
      <c r="AL848" s="1"/>
    </row>
    <row r="849" spans="38:38" ht="18" customHeight="1" x14ac:dyDescent="0.2">
      <c r="AL849" s="1"/>
    </row>
    <row r="850" spans="38:38" ht="18" customHeight="1" x14ac:dyDescent="0.2">
      <c r="AL850" s="1"/>
    </row>
    <row r="851" spans="38:38" ht="18" customHeight="1" x14ac:dyDescent="0.2">
      <c r="AL851" s="1"/>
    </row>
    <row r="852" spans="38:38" ht="18" customHeight="1" x14ac:dyDescent="0.2">
      <c r="AL852" s="1"/>
    </row>
    <row r="853" spans="38:38" ht="18" customHeight="1" x14ac:dyDescent="0.2">
      <c r="AL853" s="1"/>
    </row>
    <row r="854" spans="38:38" ht="18" customHeight="1" x14ac:dyDescent="0.2">
      <c r="AL854" s="1"/>
    </row>
    <row r="855" spans="38:38" ht="18" customHeight="1" x14ac:dyDescent="0.2">
      <c r="AL855" s="1"/>
    </row>
    <row r="856" spans="38:38" ht="18" customHeight="1" x14ac:dyDescent="0.2">
      <c r="AL856" s="1"/>
    </row>
    <row r="857" spans="38:38" ht="18" customHeight="1" x14ac:dyDescent="0.2">
      <c r="AL857" s="1"/>
    </row>
    <row r="858" spans="38:38" ht="18" customHeight="1" x14ac:dyDescent="0.2">
      <c r="AL858" s="1"/>
    </row>
    <row r="859" spans="38:38" ht="18" customHeight="1" x14ac:dyDescent="0.2">
      <c r="AL859" s="1"/>
    </row>
    <row r="860" spans="38:38" ht="18" customHeight="1" x14ac:dyDescent="0.2">
      <c r="AL860" s="1"/>
    </row>
    <row r="861" spans="38:38" ht="18" customHeight="1" x14ac:dyDescent="0.2">
      <c r="AL861" s="1"/>
    </row>
    <row r="862" spans="38:38" ht="18" customHeight="1" x14ac:dyDescent="0.2">
      <c r="AL862" s="1"/>
    </row>
    <row r="863" spans="38:38" ht="18" customHeight="1" x14ac:dyDescent="0.2">
      <c r="AL863" s="1"/>
    </row>
    <row r="864" spans="38:38" ht="18" customHeight="1" x14ac:dyDescent="0.2">
      <c r="AL864" s="1"/>
    </row>
    <row r="865" spans="38:38" ht="18" customHeight="1" x14ac:dyDescent="0.2">
      <c r="AL865" s="1"/>
    </row>
    <row r="866" spans="38:38" ht="18" customHeight="1" x14ac:dyDescent="0.2">
      <c r="AL866" s="1"/>
    </row>
    <row r="867" spans="38:38" ht="18" customHeight="1" x14ac:dyDescent="0.2">
      <c r="AL867" s="1"/>
    </row>
    <row r="868" spans="38:38" ht="18" customHeight="1" x14ac:dyDescent="0.2">
      <c r="AL868" s="1"/>
    </row>
    <row r="869" spans="38:38" ht="18" customHeight="1" x14ac:dyDescent="0.2">
      <c r="AL869" s="1"/>
    </row>
    <row r="870" spans="38:38" ht="18" customHeight="1" x14ac:dyDescent="0.2">
      <c r="AL870" s="1"/>
    </row>
    <row r="871" spans="38:38" ht="18" customHeight="1" x14ac:dyDescent="0.2">
      <c r="AL871" s="1"/>
    </row>
    <row r="872" spans="38:38" ht="18" customHeight="1" x14ac:dyDescent="0.2">
      <c r="AL872" s="1"/>
    </row>
    <row r="873" spans="38:38" ht="18" customHeight="1" x14ac:dyDescent="0.2">
      <c r="AL873" s="1"/>
    </row>
    <row r="874" spans="38:38" ht="18" customHeight="1" x14ac:dyDescent="0.2">
      <c r="AL874" s="1"/>
    </row>
    <row r="875" spans="38:38" ht="18" customHeight="1" x14ac:dyDescent="0.2">
      <c r="AL875" s="1"/>
    </row>
    <row r="876" spans="38:38" ht="18" customHeight="1" x14ac:dyDescent="0.2">
      <c r="AL876" s="1"/>
    </row>
    <row r="877" spans="38:38" ht="18" customHeight="1" x14ac:dyDescent="0.2">
      <c r="AL877" s="1"/>
    </row>
    <row r="878" spans="38:38" ht="18" customHeight="1" x14ac:dyDescent="0.2">
      <c r="AL878" s="1"/>
    </row>
    <row r="879" spans="38:38" ht="18" customHeight="1" x14ac:dyDescent="0.2">
      <c r="AL879" s="1"/>
    </row>
    <row r="880" spans="38:38" ht="18" customHeight="1" x14ac:dyDescent="0.2">
      <c r="AL880" s="1"/>
    </row>
    <row r="881" spans="38:38" ht="18" customHeight="1" x14ac:dyDescent="0.2">
      <c r="AL881" s="1"/>
    </row>
    <row r="882" spans="38:38" ht="18" customHeight="1" x14ac:dyDescent="0.2">
      <c r="AL882" s="1"/>
    </row>
    <row r="883" spans="38:38" ht="18" customHeight="1" x14ac:dyDescent="0.2">
      <c r="AL883" s="1"/>
    </row>
    <row r="884" spans="38:38" ht="18" customHeight="1" x14ac:dyDescent="0.2">
      <c r="AL884" s="1"/>
    </row>
    <row r="885" spans="38:38" ht="18" customHeight="1" x14ac:dyDescent="0.2">
      <c r="AL885" s="1"/>
    </row>
    <row r="886" spans="38:38" ht="18" customHeight="1" x14ac:dyDescent="0.2">
      <c r="AL886" s="1"/>
    </row>
    <row r="887" spans="38:38" ht="18" customHeight="1" x14ac:dyDescent="0.2">
      <c r="AL887" s="1"/>
    </row>
    <row r="888" spans="38:38" ht="18" customHeight="1" x14ac:dyDescent="0.2">
      <c r="AL888" s="1"/>
    </row>
    <row r="889" spans="38:38" ht="18" customHeight="1" x14ac:dyDescent="0.2">
      <c r="AL889" s="1"/>
    </row>
    <row r="890" spans="38:38" ht="18" customHeight="1" x14ac:dyDescent="0.2">
      <c r="AL890" s="1"/>
    </row>
    <row r="891" spans="38:38" ht="18" customHeight="1" x14ac:dyDescent="0.2">
      <c r="AL891" s="1"/>
    </row>
    <row r="892" spans="38:38" ht="18" customHeight="1" x14ac:dyDescent="0.2">
      <c r="AL892" s="1"/>
    </row>
    <row r="893" spans="38:38" ht="18" customHeight="1" x14ac:dyDescent="0.2">
      <c r="AL893" s="1"/>
    </row>
    <row r="894" spans="38:38" ht="18" customHeight="1" x14ac:dyDescent="0.2">
      <c r="AL894" s="1"/>
    </row>
    <row r="895" spans="38:38" ht="18" customHeight="1" x14ac:dyDescent="0.2">
      <c r="AL895" s="1"/>
    </row>
    <row r="896" spans="38:38" ht="18" customHeight="1" x14ac:dyDescent="0.2">
      <c r="AL896" s="1"/>
    </row>
    <row r="897" spans="38:38" ht="18" customHeight="1" x14ac:dyDescent="0.2">
      <c r="AL897" s="1"/>
    </row>
    <row r="898" spans="38:38" ht="18" customHeight="1" x14ac:dyDescent="0.2">
      <c r="AL898" s="1"/>
    </row>
    <row r="899" spans="38:38" ht="18" customHeight="1" x14ac:dyDescent="0.2">
      <c r="AL899" s="1"/>
    </row>
    <row r="900" spans="38:38" ht="18" customHeight="1" x14ac:dyDescent="0.2">
      <c r="AL900" s="1"/>
    </row>
    <row r="901" spans="38:38" ht="18" customHeight="1" x14ac:dyDescent="0.2">
      <c r="AL901" s="1"/>
    </row>
    <row r="902" spans="38:38" ht="18" customHeight="1" x14ac:dyDescent="0.2">
      <c r="AL902" s="1"/>
    </row>
    <row r="903" spans="38:38" ht="18" customHeight="1" x14ac:dyDescent="0.2">
      <c r="AL903" s="1"/>
    </row>
    <row r="904" spans="38:38" ht="18" customHeight="1" x14ac:dyDescent="0.2">
      <c r="AL904" s="1"/>
    </row>
    <row r="905" spans="38:38" ht="18" customHeight="1" x14ac:dyDescent="0.2">
      <c r="AL905" s="1"/>
    </row>
    <row r="906" spans="38:38" ht="18" customHeight="1" x14ac:dyDescent="0.2">
      <c r="AL906" s="1"/>
    </row>
    <row r="907" spans="38:38" ht="18" customHeight="1" x14ac:dyDescent="0.2">
      <c r="AL907" s="1"/>
    </row>
    <row r="908" spans="38:38" ht="18" customHeight="1" x14ac:dyDescent="0.2">
      <c r="AL908" s="1"/>
    </row>
    <row r="909" spans="38:38" ht="18" customHeight="1" x14ac:dyDescent="0.2">
      <c r="AL909" s="1"/>
    </row>
    <row r="910" spans="38:38" ht="18" customHeight="1" x14ac:dyDescent="0.2">
      <c r="AL910" s="1"/>
    </row>
    <row r="911" spans="38:38" ht="18" customHeight="1" x14ac:dyDescent="0.2">
      <c r="AL911" s="1"/>
    </row>
    <row r="912" spans="38:38" ht="18" customHeight="1" x14ac:dyDescent="0.2">
      <c r="AL912" s="1"/>
    </row>
    <row r="913" spans="38:38" ht="18" customHeight="1" x14ac:dyDescent="0.2">
      <c r="AL913" s="1"/>
    </row>
    <row r="914" spans="38:38" ht="18" customHeight="1" x14ac:dyDescent="0.2">
      <c r="AL914" s="1"/>
    </row>
    <row r="915" spans="38:38" ht="18" customHeight="1" x14ac:dyDescent="0.2">
      <c r="AL915" s="1"/>
    </row>
    <row r="916" spans="38:38" ht="18" customHeight="1" x14ac:dyDescent="0.2">
      <c r="AL916" s="1"/>
    </row>
    <row r="917" spans="38:38" ht="18" customHeight="1" x14ac:dyDescent="0.2">
      <c r="AL917" s="1"/>
    </row>
    <row r="918" spans="38:38" ht="18" customHeight="1" x14ac:dyDescent="0.2">
      <c r="AL918" s="1"/>
    </row>
    <row r="919" spans="38:38" ht="18" customHeight="1" x14ac:dyDescent="0.2">
      <c r="AL919" s="1"/>
    </row>
    <row r="920" spans="38:38" ht="18" customHeight="1" x14ac:dyDescent="0.2">
      <c r="AL920" s="1"/>
    </row>
    <row r="921" spans="38:38" ht="18" customHeight="1" x14ac:dyDescent="0.2">
      <c r="AL921" s="1"/>
    </row>
    <row r="922" spans="38:38" ht="18" customHeight="1" x14ac:dyDescent="0.2">
      <c r="AL922" s="1"/>
    </row>
    <row r="923" spans="38:38" ht="18" customHeight="1" x14ac:dyDescent="0.2">
      <c r="AL923" s="1"/>
    </row>
    <row r="924" spans="38:38" ht="18" customHeight="1" x14ac:dyDescent="0.2">
      <c r="AL924" s="1"/>
    </row>
    <row r="925" spans="38:38" ht="18" customHeight="1" x14ac:dyDescent="0.2">
      <c r="AL925" s="1"/>
    </row>
    <row r="926" spans="38:38" ht="18" customHeight="1" x14ac:dyDescent="0.2">
      <c r="AL926" s="1"/>
    </row>
    <row r="927" spans="38:38" ht="18" customHeight="1" x14ac:dyDescent="0.2">
      <c r="AL927" s="1"/>
    </row>
    <row r="928" spans="38:38" ht="18" customHeight="1" x14ac:dyDescent="0.2">
      <c r="AL928" s="1"/>
    </row>
    <row r="929" spans="38:38" ht="18" customHeight="1" x14ac:dyDescent="0.2">
      <c r="AL929" s="1"/>
    </row>
    <row r="930" spans="38:38" ht="18" customHeight="1" x14ac:dyDescent="0.2">
      <c r="AL930" s="1"/>
    </row>
    <row r="931" spans="38:38" ht="18" customHeight="1" x14ac:dyDescent="0.2">
      <c r="AL931" s="1"/>
    </row>
    <row r="932" spans="38:38" ht="18" customHeight="1" x14ac:dyDescent="0.2">
      <c r="AL932" s="1"/>
    </row>
    <row r="933" spans="38:38" ht="18" customHeight="1" x14ac:dyDescent="0.2">
      <c r="AL933" s="1"/>
    </row>
    <row r="934" spans="38:38" ht="18" customHeight="1" x14ac:dyDescent="0.2">
      <c r="AL934" s="1"/>
    </row>
    <row r="935" spans="38:38" ht="18" customHeight="1" x14ac:dyDescent="0.2">
      <c r="AL935" s="1"/>
    </row>
    <row r="936" spans="38:38" ht="18" customHeight="1" x14ac:dyDescent="0.2">
      <c r="AL936" s="1"/>
    </row>
    <row r="937" spans="38:38" ht="18" customHeight="1" x14ac:dyDescent="0.2">
      <c r="AL937" s="1"/>
    </row>
    <row r="938" spans="38:38" ht="18" customHeight="1" x14ac:dyDescent="0.2">
      <c r="AL938" s="1"/>
    </row>
    <row r="939" spans="38:38" ht="18" customHeight="1" x14ac:dyDescent="0.2">
      <c r="AL939" s="1"/>
    </row>
    <row r="940" spans="38:38" ht="18" customHeight="1" x14ac:dyDescent="0.2">
      <c r="AL940" s="1"/>
    </row>
    <row r="941" spans="38:38" ht="18" customHeight="1" x14ac:dyDescent="0.2">
      <c r="AL941" s="1"/>
    </row>
    <row r="942" spans="38:38" ht="18" customHeight="1" x14ac:dyDescent="0.2">
      <c r="AL942" s="1"/>
    </row>
    <row r="943" spans="38:38" ht="18" customHeight="1" x14ac:dyDescent="0.2">
      <c r="AL943" s="1"/>
    </row>
    <row r="944" spans="38:38" ht="18" customHeight="1" x14ac:dyDescent="0.2">
      <c r="AL944" s="1"/>
    </row>
    <row r="945" spans="38:38" ht="18" customHeight="1" x14ac:dyDescent="0.2">
      <c r="AL945" s="1"/>
    </row>
    <row r="946" spans="38:38" ht="18" customHeight="1" x14ac:dyDescent="0.2">
      <c r="AL946" s="1"/>
    </row>
    <row r="947" spans="38:38" ht="18" customHeight="1" x14ac:dyDescent="0.2">
      <c r="AL947" s="1"/>
    </row>
    <row r="948" spans="38:38" ht="18" customHeight="1" x14ac:dyDescent="0.2">
      <c r="AL948" s="1"/>
    </row>
    <row r="949" spans="38:38" ht="18" customHeight="1" x14ac:dyDescent="0.2">
      <c r="AL949" s="1"/>
    </row>
    <row r="950" spans="38:38" ht="18" customHeight="1" x14ac:dyDescent="0.2">
      <c r="AL950" s="1"/>
    </row>
    <row r="951" spans="38:38" ht="18" customHeight="1" x14ac:dyDescent="0.2">
      <c r="AL951" s="1"/>
    </row>
    <row r="952" spans="38:38" ht="18" customHeight="1" x14ac:dyDescent="0.2">
      <c r="AL952" s="1"/>
    </row>
    <row r="953" spans="38:38" ht="18" customHeight="1" x14ac:dyDescent="0.2">
      <c r="AL953" s="1"/>
    </row>
    <row r="954" spans="38:38" ht="18" customHeight="1" x14ac:dyDescent="0.2">
      <c r="AL954" s="1"/>
    </row>
    <row r="955" spans="38:38" ht="18" customHeight="1" x14ac:dyDescent="0.2">
      <c r="AL955" s="1"/>
    </row>
    <row r="956" spans="38:38" ht="18" customHeight="1" x14ac:dyDescent="0.2">
      <c r="AL956" s="1"/>
    </row>
    <row r="957" spans="38:38" ht="18" customHeight="1" x14ac:dyDescent="0.2">
      <c r="AL957" s="1"/>
    </row>
    <row r="958" spans="38:38" ht="18" customHeight="1" x14ac:dyDescent="0.2">
      <c r="AL958" s="1"/>
    </row>
    <row r="959" spans="38:38" ht="18" customHeight="1" x14ac:dyDescent="0.2">
      <c r="AL959" s="1"/>
    </row>
    <row r="960" spans="38:38" ht="18" customHeight="1" x14ac:dyDescent="0.2">
      <c r="AL960" s="1"/>
    </row>
    <row r="961" spans="38:38" ht="18" customHeight="1" x14ac:dyDescent="0.2">
      <c r="AL961" s="1"/>
    </row>
    <row r="962" spans="38:38" ht="18" customHeight="1" x14ac:dyDescent="0.2">
      <c r="AL962" s="1"/>
    </row>
    <row r="963" spans="38:38" ht="18" customHeight="1" x14ac:dyDescent="0.2">
      <c r="AL963" s="1"/>
    </row>
    <row r="964" spans="38:38" ht="18" customHeight="1" x14ac:dyDescent="0.2">
      <c r="AL964" s="1"/>
    </row>
    <row r="965" spans="38:38" ht="18" customHeight="1" x14ac:dyDescent="0.2">
      <c r="AL965" s="1"/>
    </row>
    <row r="966" spans="38:38" ht="18" customHeight="1" x14ac:dyDescent="0.2">
      <c r="AL966" s="1"/>
    </row>
    <row r="967" spans="38:38" ht="18" customHeight="1" x14ac:dyDescent="0.2">
      <c r="AL967" s="1"/>
    </row>
    <row r="968" spans="38:38" ht="18" customHeight="1" x14ac:dyDescent="0.2">
      <c r="AL968" s="1"/>
    </row>
    <row r="969" spans="38:38" ht="18" customHeight="1" x14ac:dyDescent="0.2">
      <c r="AL969" s="1"/>
    </row>
    <row r="970" spans="38:38" ht="18" customHeight="1" x14ac:dyDescent="0.2">
      <c r="AL970" s="1"/>
    </row>
    <row r="971" spans="38:38" ht="18" customHeight="1" x14ac:dyDescent="0.2">
      <c r="AL971" s="1"/>
    </row>
    <row r="972" spans="38:38" ht="18" customHeight="1" x14ac:dyDescent="0.2">
      <c r="AL972" s="1"/>
    </row>
    <row r="973" spans="38:38" ht="18" customHeight="1" x14ac:dyDescent="0.2">
      <c r="AL973" s="1"/>
    </row>
    <row r="974" spans="38:38" ht="18" customHeight="1" x14ac:dyDescent="0.2">
      <c r="AL974" s="1"/>
    </row>
    <row r="975" spans="38:38" ht="18" customHeight="1" x14ac:dyDescent="0.2">
      <c r="AL975" s="1"/>
    </row>
    <row r="976" spans="38:38" ht="18" customHeight="1" x14ac:dyDescent="0.2">
      <c r="AL976" s="1"/>
    </row>
    <row r="977" spans="38:38" ht="18" customHeight="1" x14ac:dyDescent="0.2">
      <c r="AL977" s="1"/>
    </row>
    <row r="978" spans="38:38" ht="18" customHeight="1" x14ac:dyDescent="0.2">
      <c r="AL978" s="1"/>
    </row>
    <row r="979" spans="38:38" ht="18" customHeight="1" x14ac:dyDescent="0.2">
      <c r="AL979" s="1"/>
    </row>
    <row r="980" spans="38:38" ht="18" customHeight="1" x14ac:dyDescent="0.2">
      <c r="AL980" s="1"/>
    </row>
    <row r="981" spans="38:38" ht="18" customHeight="1" x14ac:dyDescent="0.2">
      <c r="AL981" s="1"/>
    </row>
    <row r="982" spans="38:38" ht="18" customHeight="1" x14ac:dyDescent="0.2">
      <c r="AL982" s="1"/>
    </row>
    <row r="983" spans="38:38" ht="18" customHeight="1" x14ac:dyDescent="0.2">
      <c r="AL983" s="1"/>
    </row>
    <row r="984" spans="38:38" ht="18" customHeight="1" x14ac:dyDescent="0.2">
      <c r="AL984" s="1"/>
    </row>
    <row r="985" spans="38:38" ht="18" customHeight="1" x14ac:dyDescent="0.2">
      <c r="AL985" s="1"/>
    </row>
    <row r="986" spans="38:38" ht="18" customHeight="1" x14ac:dyDescent="0.2">
      <c r="AL986" s="1"/>
    </row>
    <row r="987" spans="38:38" ht="18" customHeight="1" x14ac:dyDescent="0.2">
      <c r="AL987" s="1"/>
    </row>
    <row r="988" spans="38:38" ht="18" customHeight="1" x14ac:dyDescent="0.2">
      <c r="AL988" s="1"/>
    </row>
    <row r="989" spans="38:38" ht="18" customHeight="1" x14ac:dyDescent="0.2">
      <c r="AL989" s="1"/>
    </row>
    <row r="990" spans="38:38" ht="18" customHeight="1" x14ac:dyDescent="0.2">
      <c r="AL990" s="1"/>
    </row>
    <row r="991" spans="38:38" ht="18" customHeight="1" x14ac:dyDescent="0.2">
      <c r="AL991" s="1"/>
    </row>
    <row r="992" spans="38:38" ht="18" customHeight="1" x14ac:dyDescent="0.2">
      <c r="AL992" s="1"/>
    </row>
    <row r="993" spans="38:38" ht="18" customHeight="1" x14ac:dyDescent="0.2">
      <c r="AL993" s="1"/>
    </row>
    <row r="994" spans="38:38" ht="18" customHeight="1" x14ac:dyDescent="0.2">
      <c r="AL994" s="1"/>
    </row>
    <row r="995" spans="38:38" ht="18" customHeight="1" x14ac:dyDescent="0.2">
      <c r="AL995" s="1"/>
    </row>
    <row r="996" spans="38:38" ht="18" customHeight="1" x14ac:dyDescent="0.2">
      <c r="AL996" s="1"/>
    </row>
    <row r="997" spans="38:38" ht="18" customHeight="1" x14ac:dyDescent="0.2">
      <c r="AL997" s="1"/>
    </row>
    <row r="998" spans="38:38" ht="18" customHeight="1" x14ac:dyDescent="0.2">
      <c r="AL998" s="1"/>
    </row>
    <row r="999" spans="38:38" ht="18" customHeight="1" x14ac:dyDescent="0.2">
      <c r="AL999" s="1"/>
    </row>
    <row r="1000" spans="38:38" ht="18" customHeight="1" x14ac:dyDescent="0.2">
      <c r="AL1000" s="1"/>
    </row>
    <row r="1001" spans="38:38" ht="18" customHeight="1" x14ac:dyDescent="0.2">
      <c r="AL1001" s="1"/>
    </row>
    <row r="1002" spans="38:38" ht="18" customHeight="1" x14ac:dyDescent="0.2">
      <c r="AL1002" s="1"/>
    </row>
    <row r="1003" spans="38:38" ht="18" customHeight="1" x14ac:dyDescent="0.2">
      <c r="AL1003" s="1"/>
    </row>
    <row r="1004" spans="38:38" ht="18" customHeight="1" x14ac:dyDescent="0.2">
      <c r="AL1004" s="1"/>
    </row>
    <row r="1005" spans="38:38" ht="18" customHeight="1" x14ac:dyDescent="0.2">
      <c r="AL1005" s="1"/>
    </row>
    <row r="1006" spans="38:38" ht="18" customHeight="1" x14ac:dyDescent="0.2">
      <c r="AL1006" s="1"/>
    </row>
    <row r="1007" spans="38:38" ht="18" customHeight="1" x14ac:dyDescent="0.2">
      <c r="AL1007" s="1"/>
    </row>
    <row r="1008" spans="38:38" ht="18" customHeight="1" x14ac:dyDescent="0.2">
      <c r="AL1008" s="1"/>
    </row>
    <row r="1009" spans="38:38" ht="18" customHeight="1" x14ac:dyDescent="0.2">
      <c r="AL1009" s="1"/>
    </row>
    <row r="1010" spans="38:38" ht="18" customHeight="1" x14ac:dyDescent="0.2">
      <c r="AL1010" s="1"/>
    </row>
    <row r="1011" spans="38:38" ht="18" customHeight="1" x14ac:dyDescent="0.2">
      <c r="AL1011" s="1"/>
    </row>
    <row r="1012" spans="38:38" ht="18" customHeight="1" x14ac:dyDescent="0.2">
      <c r="AL1012" s="1"/>
    </row>
    <row r="1013" spans="38:38" ht="18" customHeight="1" x14ac:dyDescent="0.2">
      <c r="AL1013" s="1"/>
    </row>
    <row r="1014" spans="38:38" ht="18" customHeight="1" x14ac:dyDescent="0.2">
      <c r="AL1014" s="1"/>
    </row>
    <row r="1015" spans="38:38" ht="18" customHeight="1" x14ac:dyDescent="0.2">
      <c r="AL1015" s="1"/>
    </row>
    <row r="1016" spans="38:38" ht="18" customHeight="1" x14ac:dyDescent="0.2">
      <c r="AL1016" s="1"/>
    </row>
    <row r="1017" spans="38:38" ht="18" customHeight="1" x14ac:dyDescent="0.2">
      <c r="AL1017" s="1"/>
    </row>
    <row r="1018" spans="38:38" ht="18" customHeight="1" x14ac:dyDescent="0.2">
      <c r="AL1018" s="1"/>
    </row>
    <row r="1019" spans="38:38" ht="18" customHeight="1" x14ac:dyDescent="0.2">
      <c r="AL1019" s="1"/>
    </row>
    <row r="1020" spans="38:38" ht="18" customHeight="1" x14ac:dyDescent="0.2">
      <c r="AL1020" s="1"/>
    </row>
    <row r="1021" spans="38:38" ht="18" customHeight="1" x14ac:dyDescent="0.2">
      <c r="AL1021" s="1"/>
    </row>
    <row r="1022" spans="38:38" ht="18" customHeight="1" x14ac:dyDescent="0.2">
      <c r="AL1022" s="1"/>
    </row>
    <row r="1023" spans="38:38" ht="18" customHeight="1" x14ac:dyDescent="0.2">
      <c r="AL1023" s="1"/>
    </row>
    <row r="1024" spans="38:38" ht="18" customHeight="1" x14ac:dyDescent="0.2">
      <c r="AL1024" s="1"/>
    </row>
    <row r="1025" spans="38:38" ht="18" customHeight="1" x14ac:dyDescent="0.2">
      <c r="AL1025" s="1"/>
    </row>
    <row r="1026" spans="38:38" ht="18" customHeight="1" x14ac:dyDescent="0.2">
      <c r="AL1026" s="1"/>
    </row>
    <row r="1027" spans="38:38" ht="18" customHeight="1" x14ac:dyDescent="0.2">
      <c r="AL1027" s="1"/>
    </row>
    <row r="1028" spans="38:38" ht="18" customHeight="1" x14ac:dyDescent="0.2">
      <c r="AL1028" s="1"/>
    </row>
    <row r="1029" spans="38:38" ht="18" customHeight="1" x14ac:dyDescent="0.2">
      <c r="AL1029" s="1"/>
    </row>
    <row r="1030" spans="38:38" ht="18" customHeight="1" x14ac:dyDescent="0.2">
      <c r="AL1030" s="1"/>
    </row>
    <row r="1031" spans="38:38" ht="18" customHeight="1" x14ac:dyDescent="0.2">
      <c r="AL1031" s="1"/>
    </row>
    <row r="1032" spans="38:38" ht="18" customHeight="1" x14ac:dyDescent="0.2">
      <c r="AL1032" s="1"/>
    </row>
    <row r="1033" spans="38:38" ht="18" customHeight="1" x14ac:dyDescent="0.2">
      <c r="AL1033" s="1"/>
    </row>
    <row r="1034" spans="38:38" ht="18" customHeight="1" x14ac:dyDescent="0.2">
      <c r="AL1034" s="1"/>
    </row>
    <row r="1035" spans="38:38" ht="18" customHeight="1" x14ac:dyDescent="0.2">
      <c r="AL1035" s="1"/>
    </row>
    <row r="1036" spans="38:38" ht="18" customHeight="1" x14ac:dyDescent="0.2">
      <c r="AL1036" s="1"/>
    </row>
    <row r="1037" spans="38:38" ht="18" customHeight="1" x14ac:dyDescent="0.2">
      <c r="AL1037" s="1"/>
    </row>
    <row r="1038" spans="38:38" ht="18" customHeight="1" x14ac:dyDescent="0.2">
      <c r="AL1038" s="1"/>
    </row>
    <row r="1039" spans="38:38" ht="18" customHeight="1" x14ac:dyDescent="0.2">
      <c r="AL1039" s="1"/>
    </row>
    <row r="1040" spans="38:38" ht="18" customHeight="1" x14ac:dyDescent="0.2">
      <c r="AL1040" s="1"/>
    </row>
    <row r="1041" spans="38:38" ht="18" customHeight="1" x14ac:dyDescent="0.2">
      <c r="AL1041" s="1"/>
    </row>
    <row r="1042" spans="38:38" ht="18" customHeight="1" x14ac:dyDescent="0.2">
      <c r="AL1042" s="1"/>
    </row>
    <row r="1043" spans="38:38" ht="18" customHeight="1" x14ac:dyDescent="0.2">
      <c r="AL1043" s="1"/>
    </row>
    <row r="1044" spans="38:38" ht="18" customHeight="1" x14ac:dyDescent="0.2">
      <c r="AL1044" s="1"/>
    </row>
    <row r="1045" spans="38:38" ht="18" customHeight="1" x14ac:dyDescent="0.2">
      <c r="AL1045" s="1"/>
    </row>
    <row r="1046" spans="38:38" ht="18" customHeight="1" x14ac:dyDescent="0.2">
      <c r="AL1046" s="1"/>
    </row>
    <row r="1047" spans="38:38" ht="18" customHeight="1" x14ac:dyDescent="0.2">
      <c r="AL1047" s="1"/>
    </row>
    <row r="1048" spans="38:38" ht="18" customHeight="1" x14ac:dyDescent="0.2">
      <c r="AL1048" s="1"/>
    </row>
    <row r="1049" spans="38:38" ht="18" customHeight="1" x14ac:dyDescent="0.2">
      <c r="AL1049" s="1"/>
    </row>
    <row r="1050" spans="38:38" ht="18" customHeight="1" x14ac:dyDescent="0.2">
      <c r="AL1050" s="1"/>
    </row>
    <row r="1051" spans="38:38" ht="18" customHeight="1" x14ac:dyDescent="0.2">
      <c r="AL1051" s="1"/>
    </row>
    <row r="1052" spans="38:38" ht="18" customHeight="1" x14ac:dyDescent="0.2">
      <c r="AL1052" s="1"/>
    </row>
    <row r="1053" spans="38:38" ht="18" customHeight="1" x14ac:dyDescent="0.2">
      <c r="AL1053" s="1"/>
    </row>
    <row r="1054" spans="38:38" ht="18" customHeight="1" x14ac:dyDescent="0.2">
      <c r="AL1054" s="1"/>
    </row>
    <row r="1055" spans="38:38" ht="18" customHeight="1" x14ac:dyDescent="0.2">
      <c r="AL1055" s="1"/>
    </row>
    <row r="1056" spans="38:38" ht="18" customHeight="1" x14ac:dyDescent="0.2">
      <c r="AL1056" s="1"/>
    </row>
    <row r="1057" spans="38:38" ht="18" customHeight="1" x14ac:dyDescent="0.2">
      <c r="AL1057" s="1"/>
    </row>
    <row r="1058" spans="38:38" ht="18" customHeight="1" x14ac:dyDescent="0.2">
      <c r="AL1058" s="1"/>
    </row>
    <row r="1059" spans="38:38" ht="18" customHeight="1" x14ac:dyDescent="0.2">
      <c r="AL1059" s="1"/>
    </row>
    <row r="1060" spans="38:38" ht="18" customHeight="1" x14ac:dyDescent="0.2">
      <c r="AL1060" s="1"/>
    </row>
    <row r="1061" spans="38:38" ht="18" customHeight="1" x14ac:dyDescent="0.2">
      <c r="AL1061" s="1"/>
    </row>
    <row r="1062" spans="38:38" ht="18" customHeight="1" x14ac:dyDescent="0.2">
      <c r="AL1062" s="1"/>
    </row>
    <row r="1063" spans="38:38" ht="18" customHeight="1" x14ac:dyDescent="0.2">
      <c r="AL1063" s="1"/>
    </row>
    <row r="1064" spans="38:38" ht="18" customHeight="1" x14ac:dyDescent="0.2">
      <c r="AL1064" s="1"/>
    </row>
    <row r="1065" spans="38:38" ht="18" customHeight="1" x14ac:dyDescent="0.2">
      <c r="AL1065" s="1"/>
    </row>
    <row r="1066" spans="38:38" ht="18" customHeight="1" x14ac:dyDescent="0.2">
      <c r="AL1066" s="1"/>
    </row>
    <row r="1067" spans="38:38" ht="18" customHeight="1" x14ac:dyDescent="0.2">
      <c r="AL1067" s="1"/>
    </row>
    <row r="1068" spans="38:38" ht="18" customHeight="1" x14ac:dyDescent="0.2">
      <c r="AL1068" s="1"/>
    </row>
    <row r="1069" spans="38:38" ht="18" customHeight="1" x14ac:dyDescent="0.2">
      <c r="AL1069" s="1"/>
    </row>
    <row r="1070" spans="38:38" ht="18" customHeight="1" x14ac:dyDescent="0.2">
      <c r="AL1070" s="1"/>
    </row>
    <row r="1071" spans="38:38" ht="18" customHeight="1" x14ac:dyDescent="0.2">
      <c r="AL1071" s="1"/>
    </row>
    <row r="1072" spans="38:38" ht="18" customHeight="1" x14ac:dyDescent="0.2">
      <c r="AL1072" s="1"/>
    </row>
    <row r="1073" spans="38:38" ht="18" customHeight="1" x14ac:dyDescent="0.2">
      <c r="AL1073" s="1"/>
    </row>
    <row r="1074" spans="38:38" ht="18" customHeight="1" x14ac:dyDescent="0.2">
      <c r="AL1074" s="1"/>
    </row>
    <row r="1075" spans="38:38" ht="18" customHeight="1" x14ac:dyDescent="0.2">
      <c r="AL1075" s="1"/>
    </row>
    <row r="1076" spans="38:38" ht="18" customHeight="1" x14ac:dyDescent="0.2">
      <c r="AL1076" s="1"/>
    </row>
    <row r="1077" spans="38:38" ht="18" customHeight="1" x14ac:dyDescent="0.2">
      <c r="AL1077" s="1"/>
    </row>
    <row r="1078" spans="38:38" ht="18" customHeight="1" x14ac:dyDescent="0.2">
      <c r="AL1078" s="1"/>
    </row>
    <row r="1079" spans="38:38" ht="18" customHeight="1" x14ac:dyDescent="0.2">
      <c r="AL1079" s="1"/>
    </row>
    <row r="1080" spans="38:38" ht="18" customHeight="1" x14ac:dyDescent="0.2">
      <c r="AL1080" s="1"/>
    </row>
    <row r="1081" spans="38:38" ht="18" customHeight="1" x14ac:dyDescent="0.2">
      <c r="AL1081" s="1"/>
    </row>
    <row r="1082" spans="38:38" ht="18" customHeight="1" x14ac:dyDescent="0.2">
      <c r="AL1082" s="1"/>
    </row>
    <row r="1083" spans="38:38" ht="18" customHeight="1" x14ac:dyDescent="0.2">
      <c r="AL1083" s="1"/>
    </row>
    <row r="1084" spans="38:38" ht="18" customHeight="1" x14ac:dyDescent="0.2">
      <c r="AL1084" s="1"/>
    </row>
    <row r="1085" spans="38:38" ht="18" customHeight="1" x14ac:dyDescent="0.2">
      <c r="AL1085" s="1"/>
    </row>
    <row r="1086" spans="38:38" ht="18" customHeight="1" x14ac:dyDescent="0.2">
      <c r="AL1086" s="1"/>
    </row>
    <row r="1087" spans="38:38" ht="18" customHeight="1" x14ac:dyDescent="0.2">
      <c r="AL1087" s="1"/>
    </row>
    <row r="1088" spans="38:38" ht="18" customHeight="1" x14ac:dyDescent="0.2">
      <c r="AL1088" s="1"/>
    </row>
    <row r="1089" spans="38:38" ht="18" customHeight="1" x14ac:dyDescent="0.2">
      <c r="AL1089" s="1"/>
    </row>
    <row r="1090" spans="38:38" ht="18" customHeight="1" x14ac:dyDescent="0.2">
      <c r="AL1090" s="1"/>
    </row>
    <row r="1091" spans="38:38" ht="18" customHeight="1" x14ac:dyDescent="0.2">
      <c r="AL1091" s="1"/>
    </row>
    <row r="1092" spans="38:38" ht="18" customHeight="1" x14ac:dyDescent="0.2">
      <c r="AL1092" s="1"/>
    </row>
    <row r="1093" spans="38:38" ht="18" customHeight="1" x14ac:dyDescent="0.2">
      <c r="AL1093" s="1"/>
    </row>
    <row r="1094" spans="38:38" ht="18" customHeight="1" x14ac:dyDescent="0.2">
      <c r="AL1094" s="1"/>
    </row>
    <row r="1095" spans="38:38" ht="18" customHeight="1" x14ac:dyDescent="0.2">
      <c r="AL1095" s="1"/>
    </row>
    <row r="1096" spans="38:38" ht="18" customHeight="1" x14ac:dyDescent="0.2">
      <c r="AL1096" s="1"/>
    </row>
    <row r="1097" spans="38:38" ht="18" customHeight="1" x14ac:dyDescent="0.2">
      <c r="AL1097" s="1"/>
    </row>
    <row r="1098" spans="38:38" ht="18" customHeight="1" x14ac:dyDescent="0.2">
      <c r="AL1098" s="1"/>
    </row>
    <row r="1099" spans="38:38" ht="18" customHeight="1" x14ac:dyDescent="0.2">
      <c r="AL1099" s="1"/>
    </row>
    <row r="1100" spans="38:38" ht="18" customHeight="1" x14ac:dyDescent="0.2">
      <c r="AL1100" s="1"/>
    </row>
    <row r="1101" spans="38:38" ht="18" customHeight="1" x14ac:dyDescent="0.2">
      <c r="AL1101" s="1"/>
    </row>
    <row r="1102" spans="38:38" ht="18" customHeight="1" x14ac:dyDescent="0.2">
      <c r="AL1102" s="1"/>
    </row>
    <row r="1103" spans="38:38" ht="18" customHeight="1" x14ac:dyDescent="0.2">
      <c r="AL1103" s="1"/>
    </row>
    <row r="1104" spans="38:38" ht="18" customHeight="1" x14ac:dyDescent="0.2">
      <c r="AL1104" s="1"/>
    </row>
    <row r="1105" spans="38:38" ht="18" customHeight="1" x14ac:dyDescent="0.2">
      <c r="AL1105" s="1"/>
    </row>
    <row r="1106" spans="38:38" ht="18" customHeight="1" x14ac:dyDescent="0.2">
      <c r="AL1106" s="1"/>
    </row>
    <row r="1107" spans="38:38" ht="18" customHeight="1" x14ac:dyDescent="0.2">
      <c r="AL1107" s="1"/>
    </row>
    <row r="1108" spans="38:38" ht="18" customHeight="1" x14ac:dyDescent="0.2">
      <c r="AL1108" s="1"/>
    </row>
    <row r="1109" spans="38:38" ht="18" customHeight="1" x14ac:dyDescent="0.2">
      <c r="AL1109" s="1"/>
    </row>
    <row r="1110" spans="38:38" ht="18" customHeight="1" x14ac:dyDescent="0.2">
      <c r="AL1110" s="1"/>
    </row>
    <row r="1111" spans="38:38" ht="18" customHeight="1" x14ac:dyDescent="0.2">
      <c r="AL1111" s="1"/>
    </row>
    <row r="1112" spans="38:38" ht="18" customHeight="1" x14ac:dyDescent="0.2">
      <c r="AL1112" s="1"/>
    </row>
    <row r="1113" spans="38:38" ht="18" customHeight="1" x14ac:dyDescent="0.2">
      <c r="AL1113" s="1"/>
    </row>
    <row r="1114" spans="38:38" ht="18" customHeight="1" x14ac:dyDescent="0.2">
      <c r="AL1114" s="1"/>
    </row>
    <row r="1115" spans="38:38" ht="18" customHeight="1" x14ac:dyDescent="0.2">
      <c r="AL1115" s="1"/>
    </row>
    <row r="1116" spans="38:38" ht="18" customHeight="1" x14ac:dyDescent="0.2">
      <c r="AL1116" s="1"/>
    </row>
    <row r="1117" spans="38:38" ht="18" customHeight="1" x14ac:dyDescent="0.2">
      <c r="AL1117" s="1"/>
    </row>
    <row r="1118" spans="38:38" ht="18" customHeight="1" x14ac:dyDescent="0.2">
      <c r="AL1118" s="1"/>
    </row>
    <row r="1119" spans="38:38" ht="18" customHeight="1" x14ac:dyDescent="0.2">
      <c r="AL1119" s="1"/>
    </row>
    <row r="1120" spans="38:38" ht="18" customHeight="1" x14ac:dyDescent="0.2">
      <c r="AL1120" s="1"/>
    </row>
    <row r="1121" spans="38:38" ht="18" customHeight="1" x14ac:dyDescent="0.2">
      <c r="AL1121" s="1"/>
    </row>
    <row r="1122" spans="38:38" ht="18" customHeight="1" x14ac:dyDescent="0.2">
      <c r="AL1122" s="1"/>
    </row>
    <row r="1123" spans="38:38" ht="18" customHeight="1" x14ac:dyDescent="0.2">
      <c r="AL1123" s="1"/>
    </row>
    <row r="1124" spans="38:38" ht="18" customHeight="1" x14ac:dyDescent="0.2">
      <c r="AL1124" s="1"/>
    </row>
    <row r="1125" spans="38:38" ht="18" customHeight="1" x14ac:dyDescent="0.2">
      <c r="AL1125" s="1"/>
    </row>
    <row r="1126" spans="38:38" ht="18" customHeight="1" x14ac:dyDescent="0.2">
      <c r="AL1126" s="1"/>
    </row>
    <row r="1127" spans="38:38" ht="18" customHeight="1" x14ac:dyDescent="0.2">
      <c r="AL1127" s="1"/>
    </row>
    <row r="1128" spans="38:38" ht="18" customHeight="1" x14ac:dyDescent="0.2">
      <c r="AL1128" s="1"/>
    </row>
    <row r="1129" spans="38:38" ht="18" customHeight="1" x14ac:dyDescent="0.2">
      <c r="AL1129" s="1"/>
    </row>
    <row r="1130" spans="38:38" ht="18" customHeight="1" x14ac:dyDescent="0.2">
      <c r="AL1130" s="1"/>
    </row>
    <row r="1131" spans="38:38" ht="18" customHeight="1" x14ac:dyDescent="0.2">
      <c r="AL1131" s="1"/>
    </row>
    <row r="1132" spans="38:38" ht="18" customHeight="1" x14ac:dyDescent="0.2">
      <c r="AL1132" s="1"/>
    </row>
    <row r="1133" spans="38:38" ht="18" customHeight="1" x14ac:dyDescent="0.2">
      <c r="AL1133" s="1"/>
    </row>
    <row r="1134" spans="38:38" ht="18" customHeight="1" x14ac:dyDescent="0.2">
      <c r="AL1134" s="1"/>
    </row>
    <row r="1135" spans="38:38" ht="18" customHeight="1" x14ac:dyDescent="0.2">
      <c r="AL1135" s="1"/>
    </row>
    <row r="1136" spans="38:38" ht="18" customHeight="1" x14ac:dyDescent="0.2">
      <c r="AL1136" s="1"/>
    </row>
    <row r="1137" spans="38:38" ht="18" customHeight="1" x14ac:dyDescent="0.2">
      <c r="AL1137" s="1"/>
    </row>
    <row r="1138" spans="38:38" ht="18" customHeight="1" x14ac:dyDescent="0.2">
      <c r="AL1138" s="1"/>
    </row>
    <row r="1139" spans="38:38" ht="18" customHeight="1" x14ac:dyDescent="0.2">
      <c r="AL1139" s="1"/>
    </row>
    <row r="1140" spans="38:38" ht="18" customHeight="1" x14ac:dyDescent="0.2">
      <c r="AL1140" s="1"/>
    </row>
    <row r="1141" spans="38:38" ht="18" customHeight="1" x14ac:dyDescent="0.2">
      <c r="AL1141" s="1"/>
    </row>
    <row r="1142" spans="38:38" ht="18" customHeight="1" x14ac:dyDescent="0.2">
      <c r="AL1142" s="1"/>
    </row>
    <row r="1143" spans="38:38" ht="18" customHeight="1" x14ac:dyDescent="0.2">
      <c r="AL1143" s="1"/>
    </row>
    <row r="1144" spans="38:38" ht="18" customHeight="1" x14ac:dyDescent="0.2">
      <c r="AL1144" s="1"/>
    </row>
    <row r="1145" spans="38:38" ht="18" customHeight="1" x14ac:dyDescent="0.2">
      <c r="AL1145" s="1"/>
    </row>
    <row r="1146" spans="38:38" ht="18" customHeight="1" x14ac:dyDescent="0.2">
      <c r="AL1146" s="1"/>
    </row>
    <row r="1147" spans="38:38" ht="18" customHeight="1" x14ac:dyDescent="0.2">
      <c r="AL1147" s="1"/>
    </row>
    <row r="1148" spans="38:38" ht="18" customHeight="1" x14ac:dyDescent="0.2">
      <c r="AL1148" s="1"/>
    </row>
    <row r="1149" spans="38:38" ht="18" customHeight="1" x14ac:dyDescent="0.2">
      <c r="AL1149" s="1"/>
    </row>
    <row r="1150" spans="38:38" ht="18" customHeight="1" x14ac:dyDescent="0.2">
      <c r="AL1150" s="1"/>
    </row>
    <row r="1151" spans="38:38" ht="18" customHeight="1" x14ac:dyDescent="0.2">
      <c r="AL1151" s="1"/>
    </row>
    <row r="1152" spans="38:38" ht="18" customHeight="1" x14ac:dyDescent="0.2">
      <c r="AL1152" s="1"/>
    </row>
    <row r="1153" spans="38:38" ht="18" customHeight="1" x14ac:dyDescent="0.2">
      <c r="AL1153" s="1"/>
    </row>
    <row r="1154" spans="38:38" ht="18" customHeight="1" x14ac:dyDescent="0.2">
      <c r="AL1154" s="1"/>
    </row>
    <row r="1155" spans="38:38" ht="18" customHeight="1" x14ac:dyDescent="0.2">
      <c r="AL1155" s="1"/>
    </row>
    <row r="1156" spans="38:38" ht="18" customHeight="1" x14ac:dyDescent="0.2">
      <c r="AL1156" s="1"/>
    </row>
    <row r="1157" spans="38:38" ht="18" customHeight="1" x14ac:dyDescent="0.2">
      <c r="AL1157" s="1"/>
    </row>
    <row r="1158" spans="38:38" ht="18" customHeight="1" x14ac:dyDescent="0.2">
      <c r="AL1158" s="1"/>
    </row>
    <row r="1159" spans="38:38" ht="18" customHeight="1" x14ac:dyDescent="0.2">
      <c r="AL1159" s="1"/>
    </row>
    <row r="1160" spans="38:38" ht="18" customHeight="1" x14ac:dyDescent="0.2">
      <c r="AL1160" s="1"/>
    </row>
    <row r="1161" spans="38:38" ht="18" customHeight="1" x14ac:dyDescent="0.2">
      <c r="AL1161" s="1"/>
    </row>
    <row r="1162" spans="38:38" ht="18" customHeight="1" x14ac:dyDescent="0.2">
      <c r="AL1162" s="1"/>
    </row>
    <row r="1163" spans="38:38" ht="18" customHeight="1" x14ac:dyDescent="0.2">
      <c r="AL1163" s="1"/>
    </row>
    <row r="1164" spans="38:38" ht="18" customHeight="1" x14ac:dyDescent="0.2">
      <c r="AL1164" s="1"/>
    </row>
    <row r="1165" spans="38:38" ht="18" customHeight="1" x14ac:dyDescent="0.2">
      <c r="AL1165" s="1"/>
    </row>
    <row r="1166" spans="38:38" ht="18" customHeight="1" x14ac:dyDescent="0.2">
      <c r="AL1166" s="1"/>
    </row>
    <row r="1167" spans="38:38" ht="18" customHeight="1" x14ac:dyDescent="0.2">
      <c r="AL1167" s="1"/>
    </row>
    <row r="1168" spans="38:38" ht="18" customHeight="1" x14ac:dyDescent="0.2">
      <c r="AL1168" s="1"/>
    </row>
    <row r="1169" spans="38:38" ht="18" customHeight="1" x14ac:dyDescent="0.2">
      <c r="AL1169" s="1"/>
    </row>
    <row r="1170" spans="38:38" ht="18" customHeight="1" x14ac:dyDescent="0.2">
      <c r="AL1170" s="1"/>
    </row>
    <row r="1171" spans="38:38" ht="18" customHeight="1" x14ac:dyDescent="0.2">
      <c r="AL1171" s="1"/>
    </row>
    <row r="1172" spans="38:38" ht="18" customHeight="1" x14ac:dyDescent="0.2">
      <c r="AL1172" s="1"/>
    </row>
    <row r="1173" spans="38:38" ht="18" customHeight="1" x14ac:dyDescent="0.2">
      <c r="AL1173" s="1"/>
    </row>
    <row r="1174" spans="38:38" ht="18" customHeight="1" x14ac:dyDescent="0.2">
      <c r="AL1174" s="1"/>
    </row>
    <row r="1175" spans="38:38" ht="18" customHeight="1" x14ac:dyDescent="0.2">
      <c r="AL1175" s="1"/>
    </row>
    <row r="1176" spans="38:38" ht="18" customHeight="1" x14ac:dyDescent="0.2">
      <c r="AL1176" s="1"/>
    </row>
    <row r="1177" spans="38:38" ht="18" customHeight="1" x14ac:dyDescent="0.2">
      <c r="AL1177" s="1"/>
    </row>
    <row r="1178" spans="38:38" ht="18" customHeight="1" x14ac:dyDescent="0.2">
      <c r="AL1178" s="1"/>
    </row>
    <row r="1179" spans="38:38" ht="18" customHeight="1" x14ac:dyDescent="0.2">
      <c r="AL1179" s="1"/>
    </row>
    <row r="1180" spans="38:38" ht="18" customHeight="1" x14ac:dyDescent="0.2">
      <c r="AL1180" s="1"/>
    </row>
    <row r="1181" spans="38:38" ht="18" customHeight="1" x14ac:dyDescent="0.2">
      <c r="AL1181" s="1"/>
    </row>
    <row r="1182" spans="38:38" ht="18" customHeight="1" x14ac:dyDescent="0.2">
      <c r="AL1182" s="1"/>
    </row>
    <row r="1183" spans="38:38" ht="18" customHeight="1" x14ac:dyDescent="0.2">
      <c r="AL1183" s="1"/>
    </row>
    <row r="1184" spans="38:38" ht="18" customHeight="1" x14ac:dyDescent="0.2">
      <c r="AL1184" s="1"/>
    </row>
    <row r="1185" spans="38:38" ht="18" customHeight="1" x14ac:dyDescent="0.2">
      <c r="AL1185" s="1"/>
    </row>
    <row r="1186" spans="38:38" ht="18" customHeight="1" x14ac:dyDescent="0.2">
      <c r="AL1186" s="1"/>
    </row>
    <row r="1187" spans="38:38" ht="18" customHeight="1" x14ac:dyDescent="0.2">
      <c r="AL1187" s="1"/>
    </row>
    <row r="1188" spans="38:38" ht="18" customHeight="1" x14ac:dyDescent="0.2">
      <c r="AL1188" s="1"/>
    </row>
    <row r="1189" spans="38:38" ht="18" customHeight="1" x14ac:dyDescent="0.2">
      <c r="AL1189" s="1"/>
    </row>
    <row r="1190" spans="38:38" ht="18" customHeight="1" x14ac:dyDescent="0.2">
      <c r="AL1190" s="1"/>
    </row>
    <row r="1191" spans="38:38" ht="18" customHeight="1" x14ac:dyDescent="0.2">
      <c r="AL1191" s="1"/>
    </row>
    <row r="1192" spans="38:38" ht="18" customHeight="1" x14ac:dyDescent="0.2">
      <c r="AL1192" s="1"/>
    </row>
    <row r="1193" spans="38:38" ht="18" customHeight="1" x14ac:dyDescent="0.2">
      <c r="AL1193" s="1"/>
    </row>
    <row r="1194" spans="38:38" ht="18" customHeight="1" x14ac:dyDescent="0.2">
      <c r="AL1194" s="1"/>
    </row>
    <row r="1195" spans="38:38" ht="18" customHeight="1" x14ac:dyDescent="0.2">
      <c r="AL1195" s="1"/>
    </row>
    <row r="1196" spans="38:38" ht="18" customHeight="1" x14ac:dyDescent="0.2">
      <c r="AL1196" s="1"/>
    </row>
    <row r="1197" spans="38:38" ht="18" customHeight="1" x14ac:dyDescent="0.2">
      <c r="AL1197" s="1"/>
    </row>
    <row r="1198" spans="38:38" ht="18" customHeight="1" x14ac:dyDescent="0.2">
      <c r="AL1198" s="1"/>
    </row>
    <row r="1199" spans="38:38" ht="18" customHeight="1" x14ac:dyDescent="0.2">
      <c r="AL1199" s="1"/>
    </row>
    <row r="1200" spans="38:38" ht="18" customHeight="1" x14ac:dyDescent="0.2">
      <c r="AL1200" s="1"/>
    </row>
    <row r="1201" spans="38:38" ht="18" customHeight="1" x14ac:dyDescent="0.2">
      <c r="AL1201" s="1"/>
    </row>
    <row r="1202" spans="38:38" ht="18" customHeight="1" x14ac:dyDescent="0.2">
      <c r="AL1202" s="1"/>
    </row>
    <row r="1203" spans="38:38" ht="18" customHeight="1" x14ac:dyDescent="0.2">
      <c r="AL1203" s="1"/>
    </row>
    <row r="1204" spans="38:38" ht="18" customHeight="1" x14ac:dyDescent="0.2">
      <c r="AL1204" s="1"/>
    </row>
    <row r="1205" spans="38:38" ht="18" customHeight="1" x14ac:dyDescent="0.2">
      <c r="AL1205" s="1"/>
    </row>
    <row r="1206" spans="38:38" ht="18" customHeight="1" x14ac:dyDescent="0.2">
      <c r="AL1206" s="1"/>
    </row>
    <row r="1207" spans="38:38" ht="18" customHeight="1" x14ac:dyDescent="0.2">
      <c r="AL1207" s="1"/>
    </row>
    <row r="1208" spans="38:38" ht="18" customHeight="1" x14ac:dyDescent="0.2">
      <c r="AL1208" s="1"/>
    </row>
    <row r="1209" spans="38:38" ht="18" customHeight="1" x14ac:dyDescent="0.2">
      <c r="AL1209" s="1"/>
    </row>
    <row r="1210" spans="38:38" ht="18" customHeight="1" x14ac:dyDescent="0.2">
      <c r="AL1210" s="1"/>
    </row>
    <row r="1211" spans="38:38" ht="18" customHeight="1" x14ac:dyDescent="0.2">
      <c r="AL1211" s="1"/>
    </row>
    <row r="1212" spans="38:38" ht="18" customHeight="1" x14ac:dyDescent="0.2">
      <c r="AL1212" s="1"/>
    </row>
    <row r="1213" spans="38:38" ht="18" customHeight="1" x14ac:dyDescent="0.2">
      <c r="AL1213" s="1"/>
    </row>
    <row r="1214" spans="38:38" ht="18" customHeight="1" x14ac:dyDescent="0.2">
      <c r="AL1214" s="1"/>
    </row>
    <row r="1215" spans="38:38" ht="18" customHeight="1" x14ac:dyDescent="0.2">
      <c r="AL1215" s="1"/>
    </row>
    <row r="1216" spans="38:38" ht="18" customHeight="1" x14ac:dyDescent="0.2">
      <c r="AL1216" s="1"/>
    </row>
    <row r="1217" spans="38:38" ht="18" customHeight="1" x14ac:dyDescent="0.2">
      <c r="AL1217" s="1"/>
    </row>
    <row r="1218" spans="38:38" ht="18" customHeight="1" x14ac:dyDescent="0.2">
      <c r="AL1218" s="1"/>
    </row>
    <row r="1219" spans="38:38" ht="18" customHeight="1" x14ac:dyDescent="0.2">
      <c r="AL1219" s="1"/>
    </row>
    <row r="1220" spans="38:38" ht="18" customHeight="1" x14ac:dyDescent="0.2">
      <c r="AL1220" s="1"/>
    </row>
    <row r="1221" spans="38:38" ht="18" customHeight="1" x14ac:dyDescent="0.2">
      <c r="AL1221" s="1"/>
    </row>
    <row r="1222" spans="38:38" ht="18" customHeight="1" x14ac:dyDescent="0.2">
      <c r="AL1222" s="1"/>
    </row>
    <row r="1223" spans="38:38" ht="18" customHeight="1" x14ac:dyDescent="0.2">
      <c r="AL1223" s="1"/>
    </row>
    <row r="1224" spans="38:38" ht="18" customHeight="1" x14ac:dyDescent="0.2">
      <c r="AL1224" s="1"/>
    </row>
    <row r="1225" spans="38:38" ht="18" customHeight="1" x14ac:dyDescent="0.2">
      <c r="AL1225" s="1"/>
    </row>
    <row r="1226" spans="38:38" ht="18" customHeight="1" x14ac:dyDescent="0.2">
      <c r="AL1226" s="1"/>
    </row>
    <row r="1227" spans="38:38" ht="18" customHeight="1" x14ac:dyDescent="0.2">
      <c r="AL1227" s="1"/>
    </row>
    <row r="1228" spans="38:38" ht="18" customHeight="1" x14ac:dyDescent="0.2">
      <c r="AL1228" s="1"/>
    </row>
    <row r="1229" spans="38:38" ht="18" customHeight="1" x14ac:dyDescent="0.2">
      <c r="AL1229" s="1"/>
    </row>
    <row r="1230" spans="38:38" ht="18" customHeight="1" x14ac:dyDescent="0.2">
      <c r="AL1230" s="1"/>
    </row>
    <row r="1231" spans="38:38" ht="18" customHeight="1" x14ac:dyDescent="0.2">
      <c r="AL1231" s="1"/>
    </row>
    <row r="1232" spans="38:38" ht="18" customHeight="1" x14ac:dyDescent="0.2">
      <c r="AL1232" s="1"/>
    </row>
    <row r="1233" spans="38:38" ht="18" customHeight="1" x14ac:dyDescent="0.2">
      <c r="AL1233" s="1"/>
    </row>
    <row r="1234" spans="38:38" ht="18" customHeight="1" x14ac:dyDescent="0.2">
      <c r="AL1234" s="1"/>
    </row>
    <row r="1235" spans="38:38" ht="18" customHeight="1" x14ac:dyDescent="0.2">
      <c r="AL1235" s="1"/>
    </row>
    <row r="1236" spans="38:38" ht="18" customHeight="1" x14ac:dyDescent="0.2">
      <c r="AL1236" s="1"/>
    </row>
    <row r="1237" spans="38:38" ht="18" customHeight="1" x14ac:dyDescent="0.2">
      <c r="AL1237" s="1"/>
    </row>
    <row r="1238" spans="38:38" ht="18" customHeight="1" x14ac:dyDescent="0.2">
      <c r="AL1238" s="1"/>
    </row>
    <row r="1239" spans="38:38" ht="18" customHeight="1" x14ac:dyDescent="0.2">
      <c r="AL1239" s="1"/>
    </row>
    <row r="1240" spans="38:38" ht="18" customHeight="1" x14ac:dyDescent="0.2">
      <c r="AL1240" s="1"/>
    </row>
    <row r="1241" spans="38:38" ht="18" customHeight="1" x14ac:dyDescent="0.2">
      <c r="AL1241" s="1"/>
    </row>
    <row r="1242" spans="38:38" ht="18" customHeight="1" x14ac:dyDescent="0.2">
      <c r="AL1242" s="1"/>
    </row>
    <row r="1243" spans="38:38" ht="18" customHeight="1" x14ac:dyDescent="0.2">
      <c r="AL1243" s="1"/>
    </row>
    <row r="1244" spans="38:38" ht="18" customHeight="1" x14ac:dyDescent="0.2">
      <c r="AL1244" s="1"/>
    </row>
    <row r="1245" spans="38:38" ht="18" customHeight="1" x14ac:dyDescent="0.2">
      <c r="AL1245" s="1"/>
    </row>
    <row r="1246" spans="38:38" ht="18" customHeight="1" x14ac:dyDescent="0.2">
      <c r="AL1246" s="1"/>
    </row>
    <row r="1247" spans="38:38" ht="18" customHeight="1" x14ac:dyDescent="0.2">
      <c r="AL1247" s="1"/>
    </row>
    <row r="1248" spans="38:38" ht="18" customHeight="1" x14ac:dyDescent="0.2">
      <c r="AL1248" s="1"/>
    </row>
    <row r="1249" spans="38:38" ht="18" customHeight="1" x14ac:dyDescent="0.2">
      <c r="AL1249" s="1"/>
    </row>
    <row r="1250" spans="38:38" ht="18" customHeight="1" x14ac:dyDescent="0.2">
      <c r="AL1250" s="1"/>
    </row>
    <row r="1251" spans="38:38" ht="18" customHeight="1" x14ac:dyDescent="0.2">
      <c r="AL1251" s="1"/>
    </row>
    <row r="1252" spans="38:38" ht="18" customHeight="1" x14ac:dyDescent="0.2">
      <c r="AL1252" s="1"/>
    </row>
    <row r="1253" spans="38:38" ht="18" customHeight="1" x14ac:dyDescent="0.2">
      <c r="AL1253" s="1"/>
    </row>
    <row r="1254" spans="38:38" ht="18" customHeight="1" x14ac:dyDescent="0.2">
      <c r="AL1254" s="1"/>
    </row>
    <row r="1255" spans="38:38" ht="18" customHeight="1" x14ac:dyDescent="0.2">
      <c r="AL1255" s="1"/>
    </row>
    <row r="1256" spans="38:38" ht="18" customHeight="1" x14ac:dyDescent="0.2">
      <c r="AL1256" s="1"/>
    </row>
    <row r="1257" spans="38:38" ht="18" customHeight="1" x14ac:dyDescent="0.2">
      <c r="AL1257" s="1"/>
    </row>
    <row r="1258" spans="38:38" ht="18" customHeight="1" x14ac:dyDescent="0.2">
      <c r="AL1258" s="1"/>
    </row>
    <row r="1259" spans="38:38" ht="18" customHeight="1" x14ac:dyDescent="0.2">
      <c r="AL1259" s="1"/>
    </row>
    <row r="1260" spans="38:38" ht="18" customHeight="1" x14ac:dyDescent="0.2">
      <c r="AL1260" s="1"/>
    </row>
    <row r="1261" spans="38:38" ht="18" customHeight="1" x14ac:dyDescent="0.2">
      <c r="AL1261" s="1"/>
    </row>
    <row r="1262" spans="38:38" ht="18" customHeight="1" x14ac:dyDescent="0.2">
      <c r="AL1262" s="1"/>
    </row>
    <row r="1263" spans="38:38" ht="18" customHeight="1" x14ac:dyDescent="0.2">
      <c r="AL1263" s="1"/>
    </row>
    <row r="1264" spans="38:38" ht="18" customHeight="1" x14ac:dyDescent="0.2">
      <c r="AL1264" s="1"/>
    </row>
    <row r="1265" spans="38:38" ht="18" customHeight="1" x14ac:dyDescent="0.2">
      <c r="AL1265" s="1"/>
    </row>
    <row r="1266" spans="38:38" ht="18" customHeight="1" x14ac:dyDescent="0.2">
      <c r="AL1266" s="1"/>
    </row>
    <row r="1267" spans="38:38" ht="18" customHeight="1" x14ac:dyDescent="0.2">
      <c r="AL1267" s="1"/>
    </row>
    <row r="1268" spans="38:38" ht="18" customHeight="1" x14ac:dyDescent="0.2">
      <c r="AL1268" s="1"/>
    </row>
    <row r="1269" spans="38:38" ht="18" customHeight="1" x14ac:dyDescent="0.2">
      <c r="AL1269" s="1"/>
    </row>
    <row r="1270" spans="38:38" ht="18" customHeight="1" x14ac:dyDescent="0.2">
      <c r="AL1270" s="1"/>
    </row>
    <row r="1271" spans="38:38" ht="18" customHeight="1" x14ac:dyDescent="0.2">
      <c r="AL1271" s="1"/>
    </row>
    <row r="1272" spans="38:38" ht="18" customHeight="1" x14ac:dyDescent="0.2">
      <c r="AL1272" s="1"/>
    </row>
    <row r="1273" spans="38:38" ht="18" customHeight="1" x14ac:dyDescent="0.2">
      <c r="AL1273" s="1"/>
    </row>
    <row r="1274" spans="38:38" ht="18" customHeight="1" x14ac:dyDescent="0.2">
      <c r="AL1274" s="1"/>
    </row>
    <row r="1275" spans="38:38" ht="18" customHeight="1" x14ac:dyDescent="0.2">
      <c r="AL1275" s="1"/>
    </row>
    <row r="1276" spans="38:38" ht="18" customHeight="1" x14ac:dyDescent="0.2">
      <c r="AL1276" s="1"/>
    </row>
    <row r="1277" spans="38:38" ht="18" customHeight="1" x14ac:dyDescent="0.2">
      <c r="AL1277" s="1"/>
    </row>
    <row r="1278" spans="38:38" ht="18" customHeight="1" x14ac:dyDescent="0.2">
      <c r="AL1278" s="1"/>
    </row>
    <row r="1279" spans="38:38" ht="18" customHeight="1" x14ac:dyDescent="0.2">
      <c r="AL1279" s="1"/>
    </row>
    <row r="1280" spans="38:38" ht="18" customHeight="1" x14ac:dyDescent="0.2">
      <c r="AL1280" s="1"/>
    </row>
    <row r="1281" spans="38:38" ht="18" customHeight="1" x14ac:dyDescent="0.2">
      <c r="AL1281" s="1"/>
    </row>
    <row r="1282" spans="38:38" ht="18" customHeight="1" x14ac:dyDescent="0.2">
      <c r="AL1282" s="1"/>
    </row>
    <row r="1283" spans="38:38" ht="18" customHeight="1" x14ac:dyDescent="0.2">
      <c r="AL1283" s="1"/>
    </row>
    <row r="1284" spans="38:38" ht="18" customHeight="1" x14ac:dyDescent="0.2">
      <c r="AL1284" s="1"/>
    </row>
    <row r="1285" spans="38:38" ht="18" customHeight="1" x14ac:dyDescent="0.2">
      <c r="AL1285" s="1"/>
    </row>
    <row r="1286" spans="38:38" ht="18" customHeight="1" x14ac:dyDescent="0.2">
      <c r="AL1286" s="1"/>
    </row>
    <row r="1287" spans="38:38" ht="18" customHeight="1" x14ac:dyDescent="0.2">
      <c r="AL1287" s="1"/>
    </row>
    <row r="1288" spans="38:38" ht="18" customHeight="1" x14ac:dyDescent="0.2">
      <c r="AL1288" s="1"/>
    </row>
    <row r="1289" spans="38:38" ht="18" customHeight="1" x14ac:dyDescent="0.2">
      <c r="AL1289" s="1"/>
    </row>
    <row r="1290" spans="38:38" ht="18" customHeight="1" x14ac:dyDescent="0.2">
      <c r="AL1290" s="1"/>
    </row>
    <row r="1291" spans="38:38" ht="18" customHeight="1" x14ac:dyDescent="0.2">
      <c r="AL1291" s="1"/>
    </row>
    <row r="1292" spans="38:38" ht="18" customHeight="1" x14ac:dyDescent="0.2">
      <c r="AL1292" s="1"/>
    </row>
    <row r="1293" spans="38:38" ht="18" customHeight="1" x14ac:dyDescent="0.2">
      <c r="AL1293" s="1"/>
    </row>
    <row r="1294" spans="38:38" ht="18" customHeight="1" x14ac:dyDescent="0.2">
      <c r="AL1294" s="1"/>
    </row>
    <row r="1295" spans="38:38" ht="18" customHeight="1" x14ac:dyDescent="0.2">
      <c r="AL1295" s="1"/>
    </row>
    <row r="1296" spans="38:38" ht="18" customHeight="1" x14ac:dyDescent="0.2">
      <c r="AL1296" s="1"/>
    </row>
    <row r="1297" spans="38:38" ht="18" customHeight="1" x14ac:dyDescent="0.2">
      <c r="AL1297" s="1"/>
    </row>
    <row r="1298" spans="38:38" ht="18" customHeight="1" x14ac:dyDescent="0.2">
      <c r="AL1298" s="1"/>
    </row>
    <row r="1299" spans="38:38" ht="18" customHeight="1" x14ac:dyDescent="0.2">
      <c r="AL1299" s="1"/>
    </row>
    <row r="1300" spans="38:38" ht="18" customHeight="1" x14ac:dyDescent="0.2">
      <c r="AL1300" s="1"/>
    </row>
    <row r="1301" spans="38:38" ht="18" customHeight="1" x14ac:dyDescent="0.2">
      <c r="AL1301" s="1"/>
    </row>
    <row r="1302" spans="38:38" ht="18" customHeight="1" x14ac:dyDescent="0.2">
      <c r="AL1302" s="1"/>
    </row>
    <row r="1303" spans="38:38" ht="18" customHeight="1" x14ac:dyDescent="0.2">
      <c r="AL1303" s="1"/>
    </row>
    <row r="1304" spans="38:38" ht="18" customHeight="1" x14ac:dyDescent="0.2">
      <c r="AL1304" s="1"/>
    </row>
    <row r="1305" spans="38:38" ht="18" customHeight="1" x14ac:dyDescent="0.2">
      <c r="AL1305" s="1"/>
    </row>
    <row r="1306" spans="38:38" ht="18" customHeight="1" x14ac:dyDescent="0.2">
      <c r="AL1306" s="1"/>
    </row>
    <row r="1307" spans="38:38" ht="18" customHeight="1" x14ac:dyDescent="0.2">
      <c r="AL1307" s="1"/>
    </row>
    <row r="1308" spans="38:38" ht="18" customHeight="1" x14ac:dyDescent="0.2">
      <c r="AL1308" s="1"/>
    </row>
    <row r="1309" spans="38:38" ht="18" customHeight="1" x14ac:dyDescent="0.2">
      <c r="AL1309" s="1"/>
    </row>
    <row r="1310" spans="38:38" ht="18" customHeight="1" x14ac:dyDescent="0.2">
      <c r="AL1310" s="1"/>
    </row>
    <row r="1311" spans="38:38" ht="18" customHeight="1" x14ac:dyDescent="0.2">
      <c r="AL1311" s="1"/>
    </row>
    <row r="1312" spans="38:38" ht="18" customHeight="1" x14ac:dyDescent="0.2">
      <c r="AL1312" s="1"/>
    </row>
    <row r="1313" spans="38:38" ht="18" customHeight="1" x14ac:dyDescent="0.2">
      <c r="AL1313" s="1"/>
    </row>
    <row r="1314" spans="38:38" ht="18" customHeight="1" x14ac:dyDescent="0.2">
      <c r="AL1314" s="1"/>
    </row>
    <row r="1315" spans="38:38" ht="18" customHeight="1" x14ac:dyDescent="0.2">
      <c r="AL1315" s="1"/>
    </row>
    <row r="1316" spans="38:38" ht="18" customHeight="1" x14ac:dyDescent="0.2">
      <c r="AL1316" s="1"/>
    </row>
    <row r="1317" spans="38:38" ht="18" customHeight="1" x14ac:dyDescent="0.2">
      <c r="AL1317" s="1"/>
    </row>
    <row r="1318" spans="38:38" ht="18" customHeight="1" x14ac:dyDescent="0.2">
      <c r="AL1318" s="1"/>
    </row>
    <row r="1319" spans="38:38" ht="18" customHeight="1" x14ac:dyDescent="0.2">
      <c r="AL1319" s="1"/>
    </row>
    <row r="1320" spans="38:38" ht="18" customHeight="1" x14ac:dyDescent="0.2">
      <c r="AL1320" s="1"/>
    </row>
    <row r="1321" spans="38:38" ht="18" customHeight="1" x14ac:dyDescent="0.2">
      <c r="AL1321" s="1"/>
    </row>
    <row r="1322" spans="38:38" ht="18" customHeight="1" x14ac:dyDescent="0.2">
      <c r="AL1322" s="1"/>
    </row>
    <row r="1323" spans="38:38" ht="18" customHeight="1" x14ac:dyDescent="0.2">
      <c r="AL1323" s="1"/>
    </row>
    <row r="1324" spans="38:38" ht="18" customHeight="1" x14ac:dyDescent="0.2">
      <c r="AL1324" s="1"/>
    </row>
    <row r="1325" spans="38:38" ht="18" customHeight="1" x14ac:dyDescent="0.2">
      <c r="AL1325" s="1"/>
    </row>
    <row r="1326" spans="38:38" ht="18" customHeight="1" x14ac:dyDescent="0.2">
      <c r="AL1326" s="1"/>
    </row>
    <row r="1327" spans="38:38" ht="18" customHeight="1" x14ac:dyDescent="0.2">
      <c r="AL1327" s="1"/>
    </row>
    <row r="1328" spans="38:38" ht="18" customHeight="1" x14ac:dyDescent="0.2">
      <c r="AL1328" s="1"/>
    </row>
    <row r="1329" spans="38:38" ht="18" customHeight="1" x14ac:dyDescent="0.2">
      <c r="AL1329" s="1"/>
    </row>
    <row r="1330" spans="38:38" ht="18" customHeight="1" x14ac:dyDescent="0.2">
      <c r="AL1330" s="1"/>
    </row>
    <row r="1331" spans="38:38" ht="18" customHeight="1" x14ac:dyDescent="0.2">
      <c r="AL1331" s="1"/>
    </row>
    <row r="1332" spans="38:38" ht="18" customHeight="1" x14ac:dyDescent="0.2">
      <c r="AL1332" s="1"/>
    </row>
    <row r="1333" spans="38:38" ht="18" customHeight="1" x14ac:dyDescent="0.2">
      <c r="AL1333" s="1"/>
    </row>
    <row r="1334" spans="38:38" ht="18" customHeight="1" x14ac:dyDescent="0.2">
      <c r="AL1334" s="1"/>
    </row>
    <row r="1335" spans="38:38" ht="18" customHeight="1" x14ac:dyDescent="0.2">
      <c r="AL1335" s="1"/>
    </row>
    <row r="1336" spans="38:38" ht="18" customHeight="1" x14ac:dyDescent="0.2">
      <c r="AL1336" s="1"/>
    </row>
    <row r="1337" spans="38:38" ht="18" customHeight="1" x14ac:dyDescent="0.2">
      <c r="AL1337" s="1"/>
    </row>
    <row r="1338" spans="38:38" ht="18" customHeight="1" x14ac:dyDescent="0.2">
      <c r="AL1338" s="1"/>
    </row>
    <row r="1339" spans="38:38" ht="18" customHeight="1" x14ac:dyDescent="0.2">
      <c r="AL1339" s="1"/>
    </row>
    <row r="1340" spans="38:38" ht="18" customHeight="1" x14ac:dyDescent="0.2">
      <c r="AL1340" s="1"/>
    </row>
    <row r="1341" spans="38:38" ht="18" customHeight="1" x14ac:dyDescent="0.2">
      <c r="AL1341" s="1"/>
    </row>
    <row r="1342" spans="38:38" ht="18" customHeight="1" x14ac:dyDescent="0.2">
      <c r="AL1342" s="1"/>
    </row>
    <row r="1343" spans="38:38" ht="18" customHeight="1" x14ac:dyDescent="0.2">
      <c r="AL1343" s="1"/>
    </row>
    <row r="1344" spans="38:38" ht="18" customHeight="1" x14ac:dyDescent="0.2">
      <c r="AL1344" s="1"/>
    </row>
    <row r="1345" spans="38:38" ht="18" customHeight="1" x14ac:dyDescent="0.2">
      <c r="AL1345" s="1"/>
    </row>
    <row r="1346" spans="38:38" ht="18" customHeight="1" x14ac:dyDescent="0.2">
      <c r="AL1346" s="1"/>
    </row>
    <row r="1347" spans="38:38" ht="18" customHeight="1" x14ac:dyDescent="0.2">
      <c r="AL1347" s="1"/>
    </row>
    <row r="1348" spans="38:38" ht="18" customHeight="1" x14ac:dyDescent="0.2">
      <c r="AL1348" s="1"/>
    </row>
    <row r="1349" spans="38:38" ht="18" customHeight="1" x14ac:dyDescent="0.2">
      <c r="AL1349" s="1"/>
    </row>
    <row r="1350" spans="38:38" ht="18" customHeight="1" x14ac:dyDescent="0.2">
      <c r="AL1350" s="1"/>
    </row>
    <row r="1351" spans="38:38" ht="18" customHeight="1" x14ac:dyDescent="0.2">
      <c r="AL1351" s="1"/>
    </row>
    <row r="1352" spans="38:38" ht="18" customHeight="1" x14ac:dyDescent="0.2">
      <c r="AL1352" s="1"/>
    </row>
    <row r="1353" spans="38:38" ht="18" customHeight="1" x14ac:dyDescent="0.2">
      <c r="AL1353" s="1"/>
    </row>
    <row r="1354" spans="38:38" ht="18" customHeight="1" x14ac:dyDescent="0.2">
      <c r="AL1354" s="1"/>
    </row>
    <row r="1355" spans="38:38" ht="18" customHeight="1" x14ac:dyDescent="0.2">
      <c r="AL1355" s="1"/>
    </row>
    <row r="1356" spans="38:38" ht="18" customHeight="1" x14ac:dyDescent="0.2">
      <c r="AL1356" s="1"/>
    </row>
    <row r="1357" spans="38:38" ht="18" customHeight="1" x14ac:dyDescent="0.2">
      <c r="AL1357" s="1"/>
    </row>
    <row r="1358" spans="38:38" ht="18" customHeight="1" x14ac:dyDescent="0.2">
      <c r="AL1358" s="1"/>
    </row>
    <row r="1359" spans="38:38" ht="18" customHeight="1" x14ac:dyDescent="0.2">
      <c r="AL1359" s="1"/>
    </row>
    <row r="1360" spans="38:38" ht="18" customHeight="1" x14ac:dyDescent="0.2">
      <c r="AL1360" s="1"/>
    </row>
    <row r="1361" spans="38:38" ht="18" customHeight="1" x14ac:dyDescent="0.2">
      <c r="AL1361" s="1"/>
    </row>
    <row r="1362" spans="38:38" ht="18" customHeight="1" x14ac:dyDescent="0.2">
      <c r="AL1362" s="1"/>
    </row>
    <row r="1363" spans="38:38" ht="18" customHeight="1" x14ac:dyDescent="0.2">
      <c r="AL1363" s="1"/>
    </row>
    <row r="1364" spans="38:38" ht="18" customHeight="1" x14ac:dyDescent="0.2">
      <c r="AL1364" s="1"/>
    </row>
    <row r="1365" spans="38:38" ht="18" customHeight="1" x14ac:dyDescent="0.2">
      <c r="AL1365" s="1"/>
    </row>
    <row r="1366" spans="38:38" ht="18" customHeight="1" x14ac:dyDescent="0.2">
      <c r="AL1366" s="1"/>
    </row>
    <row r="1367" spans="38:38" ht="18" customHeight="1" x14ac:dyDescent="0.2">
      <c r="AL1367" s="1"/>
    </row>
    <row r="1368" spans="38:38" ht="18" customHeight="1" x14ac:dyDescent="0.2">
      <c r="AL1368" s="1"/>
    </row>
    <row r="1369" spans="38:38" ht="18" customHeight="1" x14ac:dyDescent="0.2">
      <c r="AL1369" s="1"/>
    </row>
    <row r="1370" spans="38:38" ht="18" customHeight="1" x14ac:dyDescent="0.2">
      <c r="AL1370" s="1"/>
    </row>
    <row r="1371" spans="38:38" ht="18" customHeight="1" x14ac:dyDescent="0.2">
      <c r="AL1371" s="1"/>
    </row>
    <row r="1372" spans="38:38" ht="18" customHeight="1" x14ac:dyDescent="0.2">
      <c r="AL1372" s="1"/>
    </row>
    <row r="1373" spans="38:38" ht="18" customHeight="1" x14ac:dyDescent="0.2">
      <c r="AL1373" s="1"/>
    </row>
    <row r="1374" spans="38:38" ht="18" customHeight="1" x14ac:dyDescent="0.2">
      <c r="AL1374" s="1"/>
    </row>
    <row r="1375" spans="38:38" ht="18" customHeight="1" x14ac:dyDescent="0.2">
      <c r="AL1375" s="1"/>
    </row>
    <row r="1376" spans="38:38" ht="18" customHeight="1" x14ac:dyDescent="0.2">
      <c r="AL1376" s="1"/>
    </row>
    <row r="1377" spans="38:38" ht="18" customHeight="1" x14ac:dyDescent="0.2">
      <c r="AL1377" s="1"/>
    </row>
    <row r="1378" spans="38:38" ht="18" customHeight="1" x14ac:dyDescent="0.2">
      <c r="AL1378" s="1"/>
    </row>
    <row r="1379" spans="38:38" ht="18" customHeight="1" x14ac:dyDescent="0.2">
      <c r="AL1379" s="1"/>
    </row>
    <row r="1380" spans="38:38" ht="18" customHeight="1" x14ac:dyDescent="0.2">
      <c r="AL1380" s="1"/>
    </row>
    <row r="1381" spans="38:38" ht="18" customHeight="1" x14ac:dyDescent="0.2">
      <c r="AL1381" s="1"/>
    </row>
    <row r="1382" spans="38:38" ht="18" customHeight="1" x14ac:dyDescent="0.2">
      <c r="AL1382" s="1"/>
    </row>
    <row r="1383" spans="38:38" ht="18" customHeight="1" x14ac:dyDescent="0.2">
      <c r="AL1383" s="1"/>
    </row>
    <row r="1384" spans="38:38" ht="18" customHeight="1" x14ac:dyDescent="0.2">
      <c r="AL1384" s="1"/>
    </row>
    <row r="1385" spans="38:38" ht="18" customHeight="1" x14ac:dyDescent="0.2">
      <c r="AL1385" s="1"/>
    </row>
    <row r="1386" spans="38:38" ht="18" customHeight="1" x14ac:dyDescent="0.2">
      <c r="AL1386" s="1"/>
    </row>
    <row r="1387" spans="38:38" ht="18" customHeight="1" x14ac:dyDescent="0.2">
      <c r="AL1387" s="1"/>
    </row>
    <row r="1388" spans="38:38" ht="18" customHeight="1" x14ac:dyDescent="0.2">
      <c r="AL1388" s="1"/>
    </row>
    <row r="1389" spans="38:38" ht="18" customHeight="1" x14ac:dyDescent="0.2">
      <c r="AL1389" s="1"/>
    </row>
    <row r="1390" spans="38:38" ht="18" customHeight="1" x14ac:dyDescent="0.2">
      <c r="AL1390" s="1"/>
    </row>
    <row r="1391" spans="38:38" ht="18" customHeight="1" x14ac:dyDescent="0.2">
      <c r="AL1391" s="1"/>
    </row>
    <row r="1392" spans="38:38" ht="18" customHeight="1" x14ac:dyDescent="0.2">
      <c r="AL1392" s="1"/>
    </row>
    <row r="1393" spans="38:38" ht="18" customHeight="1" x14ac:dyDescent="0.2">
      <c r="AL1393" s="1"/>
    </row>
    <row r="1394" spans="38:38" ht="18" customHeight="1" x14ac:dyDescent="0.2">
      <c r="AL1394" s="1"/>
    </row>
    <row r="1395" spans="38:38" ht="18" customHeight="1" x14ac:dyDescent="0.2">
      <c r="AL1395" s="1"/>
    </row>
    <row r="1396" spans="38:38" ht="18" customHeight="1" x14ac:dyDescent="0.2">
      <c r="AL1396" s="1"/>
    </row>
    <row r="1397" spans="38:38" ht="18" customHeight="1" x14ac:dyDescent="0.2">
      <c r="AL1397" s="1"/>
    </row>
    <row r="1398" spans="38:38" ht="18" customHeight="1" x14ac:dyDescent="0.2">
      <c r="AL1398" s="1"/>
    </row>
    <row r="1399" spans="38:38" ht="18" customHeight="1" x14ac:dyDescent="0.2">
      <c r="AL1399" s="1"/>
    </row>
    <row r="1400" spans="38:38" ht="18" customHeight="1" x14ac:dyDescent="0.2">
      <c r="AL1400" s="1"/>
    </row>
    <row r="1401" spans="38:38" ht="18" customHeight="1" x14ac:dyDescent="0.2">
      <c r="AL1401" s="1"/>
    </row>
    <row r="1402" spans="38:38" ht="18" customHeight="1" x14ac:dyDescent="0.2">
      <c r="AL1402" s="1"/>
    </row>
    <row r="1403" spans="38:38" ht="18" customHeight="1" x14ac:dyDescent="0.2">
      <c r="AL1403" s="1"/>
    </row>
    <row r="1404" spans="38:38" ht="18" customHeight="1" x14ac:dyDescent="0.2">
      <c r="AL1404" s="1"/>
    </row>
    <row r="1405" spans="38:38" ht="18" customHeight="1" x14ac:dyDescent="0.2">
      <c r="AL1405" s="1"/>
    </row>
    <row r="1406" spans="38:38" ht="18" customHeight="1" x14ac:dyDescent="0.2">
      <c r="AL1406" s="1"/>
    </row>
    <row r="1407" spans="38:38" ht="18" customHeight="1" x14ac:dyDescent="0.2">
      <c r="AL1407" s="1"/>
    </row>
    <row r="1408" spans="38:38" ht="18" customHeight="1" x14ac:dyDescent="0.2">
      <c r="AL1408" s="1"/>
    </row>
    <row r="1409" spans="38:38" ht="18" customHeight="1" x14ac:dyDescent="0.2">
      <c r="AL1409" s="1"/>
    </row>
    <row r="1410" spans="38:38" ht="18" customHeight="1" x14ac:dyDescent="0.2">
      <c r="AL1410" s="1"/>
    </row>
    <row r="1411" spans="38:38" ht="18" customHeight="1" x14ac:dyDescent="0.2">
      <c r="AL1411" s="1"/>
    </row>
    <row r="1412" spans="38:38" ht="18" customHeight="1" x14ac:dyDescent="0.2">
      <c r="AL1412" s="1"/>
    </row>
    <row r="1413" spans="38:38" ht="18" customHeight="1" x14ac:dyDescent="0.2">
      <c r="AL1413" s="1"/>
    </row>
    <row r="1414" spans="38:38" ht="18" customHeight="1" x14ac:dyDescent="0.2">
      <c r="AL1414" s="1"/>
    </row>
    <row r="1415" spans="38:38" ht="18" customHeight="1" x14ac:dyDescent="0.2">
      <c r="AL1415" s="1"/>
    </row>
    <row r="1416" spans="38:38" ht="18" customHeight="1" x14ac:dyDescent="0.2">
      <c r="AL1416" s="1"/>
    </row>
    <row r="1417" spans="38:38" ht="18" customHeight="1" x14ac:dyDescent="0.2">
      <c r="AL1417" s="1"/>
    </row>
    <row r="1418" spans="38:38" ht="18" customHeight="1" x14ac:dyDescent="0.2">
      <c r="AL1418" s="1"/>
    </row>
    <row r="1419" spans="38:38" ht="18" customHeight="1" x14ac:dyDescent="0.2">
      <c r="AL1419" s="1"/>
    </row>
    <row r="1420" spans="38:38" ht="18" customHeight="1" x14ac:dyDescent="0.2">
      <c r="AL1420" s="1"/>
    </row>
    <row r="1421" spans="38:38" ht="18" customHeight="1" x14ac:dyDescent="0.2">
      <c r="AL1421" s="1"/>
    </row>
    <row r="1422" spans="38:38" ht="18" customHeight="1" x14ac:dyDescent="0.2">
      <c r="AL1422" s="1"/>
    </row>
    <row r="1423" spans="38:38" ht="18" customHeight="1" x14ac:dyDescent="0.2">
      <c r="AL1423" s="1"/>
    </row>
    <row r="1424" spans="38:38" ht="18" customHeight="1" x14ac:dyDescent="0.2">
      <c r="AL1424" s="1"/>
    </row>
    <row r="1425" spans="38:38" ht="18" customHeight="1" x14ac:dyDescent="0.2">
      <c r="AL1425" s="1"/>
    </row>
    <row r="1426" spans="38:38" ht="18" customHeight="1" x14ac:dyDescent="0.2">
      <c r="AL1426" s="1"/>
    </row>
    <row r="1427" spans="38:38" ht="18" customHeight="1" x14ac:dyDescent="0.2">
      <c r="AL1427" s="1"/>
    </row>
    <row r="1428" spans="38:38" ht="18" customHeight="1" x14ac:dyDescent="0.2">
      <c r="AL1428" s="1"/>
    </row>
    <row r="1429" spans="38:38" ht="18" customHeight="1" x14ac:dyDescent="0.2">
      <c r="AL1429" s="1"/>
    </row>
    <row r="1430" spans="38:38" ht="18" customHeight="1" x14ac:dyDescent="0.2">
      <c r="AL1430" s="1"/>
    </row>
    <row r="1431" spans="38:38" ht="18" customHeight="1" x14ac:dyDescent="0.2">
      <c r="AL1431" s="1"/>
    </row>
    <row r="1432" spans="38:38" ht="18" customHeight="1" x14ac:dyDescent="0.2">
      <c r="AL1432" s="1"/>
    </row>
    <row r="1433" spans="38:38" ht="18" customHeight="1" x14ac:dyDescent="0.2">
      <c r="AL1433" s="1"/>
    </row>
    <row r="1434" spans="38:38" ht="18" customHeight="1" x14ac:dyDescent="0.2">
      <c r="AL1434" s="1"/>
    </row>
    <row r="1435" spans="38:38" ht="18" customHeight="1" x14ac:dyDescent="0.2">
      <c r="AL1435" s="1"/>
    </row>
    <row r="1436" spans="38:38" ht="18" customHeight="1" x14ac:dyDescent="0.2">
      <c r="AL1436" s="1"/>
    </row>
    <row r="1437" spans="38:38" ht="18" customHeight="1" x14ac:dyDescent="0.2">
      <c r="AL1437" s="1"/>
    </row>
    <row r="1438" spans="38:38" ht="18" customHeight="1" x14ac:dyDescent="0.2">
      <c r="AL1438" s="1"/>
    </row>
    <row r="1439" spans="38:38" ht="18" customHeight="1" x14ac:dyDescent="0.2">
      <c r="AL1439" s="1"/>
    </row>
    <row r="1440" spans="38:38" ht="18" customHeight="1" x14ac:dyDescent="0.2">
      <c r="AL1440" s="1"/>
    </row>
    <row r="1441" spans="38:38" ht="18" customHeight="1" x14ac:dyDescent="0.2">
      <c r="AL1441" s="1"/>
    </row>
    <row r="1442" spans="38:38" ht="18" customHeight="1" x14ac:dyDescent="0.2">
      <c r="AL1442" s="1"/>
    </row>
    <row r="1443" spans="38:38" ht="18" customHeight="1" x14ac:dyDescent="0.2">
      <c r="AL1443" s="1"/>
    </row>
    <row r="1444" spans="38:38" ht="18" customHeight="1" x14ac:dyDescent="0.2">
      <c r="AL1444" s="1"/>
    </row>
    <row r="1445" spans="38:38" ht="18" customHeight="1" x14ac:dyDescent="0.2">
      <c r="AL1445" s="1"/>
    </row>
    <row r="1446" spans="38:38" ht="18" customHeight="1" x14ac:dyDescent="0.2">
      <c r="AL1446" s="1"/>
    </row>
    <row r="1447" spans="38:38" ht="18" customHeight="1" x14ac:dyDescent="0.2">
      <c r="AL1447" s="1"/>
    </row>
    <row r="1448" spans="38:38" ht="18" customHeight="1" x14ac:dyDescent="0.2">
      <c r="AL1448" s="1"/>
    </row>
    <row r="1449" spans="38:38" ht="18" customHeight="1" x14ac:dyDescent="0.2">
      <c r="AL1449" s="1"/>
    </row>
    <row r="1450" spans="38:38" ht="18" customHeight="1" x14ac:dyDescent="0.2">
      <c r="AL1450" s="1"/>
    </row>
    <row r="1451" spans="38:38" ht="18" customHeight="1" x14ac:dyDescent="0.2">
      <c r="AL1451" s="1"/>
    </row>
    <row r="1452" spans="38:38" ht="18" customHeight="1" x14ac:dyDescent="0.2">
      <c r="AL1452" s="1"/>
    </row>
    <row r="1453" spans="38:38" ht="18" customHeight="1" x14ac:dyDescent="0.2">
      <c r="AL1453" s="1"/>
    </row>
    <row r="1454" spans="38:38" ht="18" customHeight="1" x14ac:dyDescent="0.2">
      <c r="AL1454" s="1"/>
    </row>
    <row r="1455" spans="38:38" ht="18" customHeight="1" x14ac:dyDescent="0.2">
      <c r="AL1455" s="1"/>
    </row>
    <row r="1456" spans="38:38" ht="18" customHeight="1" x14ac:dyDescent="0.2">
      <c r="AL1456" s="1"/>
    </row>
    <row r="1457" spans="38:38" ht="18" customHeight="1" x14ac:dyDescent="0.2">
      <c r="AL1457" s="1"/>
    </row>
    <row r="1458" spans="38:38" ht="18" customHeight="1" x14ac:dyDescent="0.2">
      <c r="AL1458" s="1"/>
    </row>
    <row r="1459" spans="38:38" ht="18" customHeight="1" x14ac:dyDescent="0.2">
      <c r="AL1459" s="1"/>
    </row>
    <row r="1460" spans="38:38" ht="18" customHeight="1" x14ac:dyDescent="0.2">
      <c r="AL1460" s="1"/>
    </row>
    <row r="1461" spans="38:38" ht="18" customHeight="1" x14ac:dyDescent="0.2">
      <c r="AL1461" s="1"/>
    </row>
    <row r="1462" spans="38:38" ht="18" customHeight="1" x14ac:dyDescent="0.2">
      <c r="AL1462" s="1"/>
    </row>
    <row r="1463" spans="38:38" ht="18" customHeight="1" x14ac:dyDescent="0.2">
      <c r="AL1463" s="1"/>
    </row>
    <row r="1464" spans="38:38" ht="18" customHeight="1" x14ac:dyDescent="0.2">
      <c r="AL1464" s="1"/>
    </row>
    <row r="1465" spans="38:38" ht="18" customHeight="1" x14ac:dyDescent="0.2">
      <c r="AL1465" s="1"/>
    </row>
  </sheetData>
  <mergeCells count="1">
    <mergeCell ref="B2:C2"/>
  </mergeCells>
  <hyperlinks>
    <hyperlink ref="AU30" r:id="rId1" xr:uid="{00000000-0004-0000-0000-000000000000}"/>
  </hyperlink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J437"/>
  <sheetViews>
    <sheetView topLeftCell="Z28" workbookViewId="0">
      <selection activeCell="AF4" sqref="AF4:AF260"/>
    </sheetView>
  </sheetViews>
  <sheetFormatPr baseColWidth="10" defaultRowHeight="16" x14ac:dyDescent="0.2"/>
  <cols>
    <col min="1" max="1" width="49.83203125" style="14" customWidth="1"/>
    <col min="2" max="2" width="82.1640625" style="14" customWidth="1"/>
    <col min="3" max="3" width="94.1640625" style="14" customWidth="1"/>
    <col min="4" max="24" width="10.83203125" style="14"/>
    <col min="25" max="25" width="21.6640625" style="14" customWidth="1"/>
    <col min="32" max="32" width="17.83203125" customWidth="1"/>
    <col min="33" max="33" width="23.1640625" style="34" customWidth="1"/>
  </cols>
  <sheetData>
    <row r="1" spans="1:36" ht="28" x14ac:dyDescent="0.35">
      <c r="A1" s="2"/>
      <c r="B1" s="3"/>
      <c r="C1" s="3"/>
      <c r="D1" s="3"/>
      <c r="E1" s="3"/>
      <c r="F1" s="3"/>
      <c r="G1" s="3"/>
      <c r="H1" s="3"/>
      <c r="I1" s="3"/>
      <c r="J1" s="3"/>
      <c r="K1" s="4" t="s">
        <v>26</v>
      </c>
      <c r="L1" s="3"/>
      <c r="M1" s="4"/>
      <c r="N1" s="3"/>
      <c r="O1" s="3"/>
      <c r="P1" s="4"/>
      <c r="Q1" s="3"/>
      <c r="R1" s="3"/>
      <c r="S1" s="3"/>
      <c r="T1" s="3"/>
      <c r="U1" s="3"/>
      <c r="V1" s="30"/>
      <c r="W1" s="3"/>
      <c r="X1" s="4"/>
      <c r="Y1" s="4"/>
    </row>
    <row r="2" spans="1:36" ht="28" x14ac:dyDescent="0.35">
      <c r="A2" s="62" t="s">
        <v>1313</v>
      </c>
      <c r="B2" s="62"/>
      <c r="C2" s="5" t="s">
        <v>0</v>
      </c>
      <c r="D2" s="6" t="s">
        <v>63</v>
      </c>
      <c r="E2" s="6" t="s">
        <v>5</v>
      </c>
      <c r="F2" s="18" t="s">
        <v>325</v>
      </c>
      <c r="G2" s="18" t="s">
        <v>1516</v>
      </c>
      <c r="H2" s="18" t="s">
        <v>1829</v>
      </c>
      <c r="I2" s="18" t="s">
        <v>3</v>
      </c>
      <c r="J2" s="6" t="s">
        <v>31</v>
      </c>
      <c r="K2" s="6" t="s">
        <v>1</v>
      </c>
      <c r="L2" s="6" t="s">
        <v>498</v>
      </c>
      <c r="M2" s="6" t="s">
        <v>720</v>
      </c>
      <c r="N2" s="18" t="s">
        <v>38</v>
      </c>
      <c r="O2" s="18" t="s">
        <v>4</v>
      </c>
      <c r="P2" s="18" t="s">
        <v>2</v>
      </c>
      <c r="Q2" s="6" t="s">
        <v>374</v>
      </c>
      <c r="R2" s="6" t="s">
        <v>8</v>
      </c>
      <c r="S2" s="18" t="s">
        <v>6</v>
      </c>
      <c r="T2" s="6" t="s">
        <v>85</v>
      </c>
      <c r="U2" s="6" t="s">
        <v>7</v>
      </c>
      <c r="V2" s="18" t="s">
        <v>34</v>
      </c>
      <c r="W2" s="6" t="s">
        <v>43</v>
      </c>
      <c r="X2" s="6" t="s">
        <v>684</v>
      </c>
      <c r="Y2" s="7" t="s">
        <v>1833</v>
      </c>
      <c r="AF2" s="38" t="s">
        <v>1836</v>
      </c>
      <c r="AG2" s="35" t="s">
        <v>9</v>
      </c>
      <c r="AH2" s="32" t="s">
        <v>1835</v>
      </c>
    </row>
    <row r="3" spans="1:36" ht="28" x14ac:dyDescent="0.35">
      <c r="A3" s="19" t="s">
        <v>1312</v>
      </c>
      <c r="B3" s="19" t="s">
        <v>1289</v>
      </c>
      <c r="C3" s="5"/>
      <c r="D3" s="6"/>
      <c r="E3" s="6"/>
      <c r="F3" s="18"/>
      <c r="G3" s="18"/>
      <c r="H3" s="18"/>
      <c r="I3" s="18"/>
      <c r="J3" s="6"/>
      <c r="K3" s="6"/>
      <c r="L3" s="6"/>
      <c r="M3" s="6"/>
      <c r="N3" s="18"/>
      <c r="O3" s="18"/>
      <c r="P3" s="6"/>
      <c r="Q3" s="6"/>
      <c r="R3" s="6"/>
      <c r="S3" s="18"/>
      <c r="T3" s="6"/>
      <c r="U3" s="6"/>
      <c r="V3" s="18"/>
      <c r="W3" s="6"/>
      <c r="X3" s="6"/>
      <c r="Y3" s="7"/>
    </row>
    <row r="4" spans="1:36" x14ac:dyDescent="0.2">
      <c r="A4" s="26"/>
      <c r="B4" s="27" t="s">
        <v>36</v>
      </c>
      <c r="C4" s="1" t="s">
        <v>294</v>
      </c>
      <c r="D4" s="1"/>
      <c r="E4">
        <v>91.5</v>
      </c>
      <c r="F4" s="23"/>
      <c r="G4" s="23"/>
      <c r="H4" s="23"/>
      <c r="I4"/>
      <c r="J4" s="22">
        <v>4.5</v>
      </c>
      <c r="K4" s="22">
        <v>0.6</v>
      </c>
      <c r="L4" s="22"/>
      <c r="M4" s="22"/>
      <c r="N4" s="23">
        <v>2.5000000000000001E-2</v>
      </c>
      <c r="O4" s="23">
        <v>0.17499999999999999</v>
      </c>
      <c r="P4" s="1">
        <v>0.17499999999999999</v>
      </c>
      <c r="Q4" s="1"/>
      <c r="R4" s="1"/>
      <c r="S4" s="20">
        <v>2.5</v>
      </c>
      <c r="T4" s="1"/>
      <c r="U4" s="1">
        <v>0.125</v>
      </c>
      <c r="V4" s="21"/>
      <c r="W4" s="1">
        <v>0.125</v>
      </c>
      <c r="X4" s="1"/>
      <c r="Y4" s="1">
        <f>3.262*F4/100+4.012*G4/100+4.36*H4/100+2.333*I4/100+3.327*L4/100+4.082*N4/100+2.775*S4/100+2.165*V4/100</f>
        <v>7.03955E-2</v>
      </c>
      <c r="Z4" s="31" t="str">
        <f>"="&amp;AI4</f>
        <v>=</v>
      </c>
      <c r="AB4" s="31">
        <f>170+188</f>
        <v>358</v>
      </c>
      <c r="AC4">
        <f>AB4/2</f>
        <v>179</v>
      </c>
      <c r="AF4">
        <v>5.9</v>
      </c>
      <c r="AG4" s="33">
        <v>2795</v>
      </c>
      <c r="AH4">
        <v>179</v>
      </c>
      <c r="AJ4" s="1"/>
    </row>
    <row r="5" spans="1:36" x14ac:dyDescent="0.2">
      <c r="A5" s="26"/>
      <c r="B5" s="27" t="s">
        <v>58</v>
      </c>
      <c r="C5" s="22" t="s">
        <v>1414</v>
      </c>
      <c r="D5" s="22">
        <f>(0.4+1)/2</f>
        <v>0.7</v>
      </c>
      <c r="E5">
        <v>93.85</v>
      </c>
      <c r="F5" s="23"/>
      <c r="G5" s="23"/>
      <c r="H5" s="23"/>
      <c r="I5"/>
      <c r="J5" s="22">
        <v>4.5</v>
      </c>
      <c r="K5" s="22">
        <v>0.05</v>
      </c>
      <c r="L5" s="22"/>
      <c r="M5" s="22"/>
      <c r="N5" s="23">
        <v>0.25</v>
      </c>
      <c r="O5" s="23">
        <v>0.30000000000000004</v>
      </c>
      <c r="P5" s="22"/>
      <c r="Q5" s="22"/>
      <c r="R5" s="22"/>
      <c r="S5" s="23">
        <v>2.5000000000000001E-2</v>
      </c>
      <c r="T5" s="22"/>
      <c r="U5" s="22">
        <v>0.25</v>
      </c>
      <c r="V5" s="23"/>
      <c r="W5" s="22"/>
      <c r="X5" s="22"/>
      <c r="Y5" s="1">
        <f t="shared" ref="Y5:Y68" si="0">3.262*F5/100+4.012*G5/100+4.36*H5/100+2.333*I5/100+3.327*L5/100+4.082*N5/100+2.775*S5/100+2.165*V5/100</f>
        <v>1.0898749999999999E-2</v>
      </c>
      <c r="Z5" s="31" t="str">
        <f t="shared" ref="Z5:Z68" si="1">"="&amp;AI5</f>
        <v>=</v>
      </c>
      <c r="AB5" s="31">
        <f>331+366</f>
        <v>697</v>
      </c>
      <c r="AC5">
        <f t="shared" ref="AC5:AC68" si="2">AB5/2</f>
        <v>348.5</v>
      </c>
      <c r="AF5">
        <v>5.9</v>
      </c>
      <c r="AG5" s="36">
        <v>2795</v>
      </c>
      <c r="AH5">
        <v>348.5</v>
      </c>
      <c r="AJ5" s="22"/>
    </row>
    <row r="6" spans="1:36" x14ac:dyDescent="0.2">
      <c r="A6" s="28"/>
      <c r="B6" s="27" t="s">
        <v>79</v>
      </c>
      <c r="C6" s="22" t="s">
        <v>1415</v>
      </c>
      <c r="D6" s="22"/>
      <c r="E6">
        <v>94.35</v>
      </c>
      <c r="F6" s="23"/>
      <c r="G6" s="23"/>
      <c r="H6" s="23"/>
      <c r="I6"/>
      <c r="J6" s="22">
        <v>4.5999999999999996</v>
      </c>
      <c r="K6" s="22">
        <v>0.05</v>
      </c>
      <c r="L6" s="22"/>
      <c r="M6" s="22"/>
      <c r="N6" s="23">
        <v>0.35</v>
      </c>
      <c r="O6" s="23">
        <v>0.35</v>
      </c>
      <c r="P6" s="22">
        <v>2.5000000000000001E-2</v>
      </c>
      <c r="Q6" s="22"/>
      <c r="R6" s="22"/>
      <c r="S6" s="23">
        <v>2.5000000000000001E-2</v>
      </c>
      <c r="T6" s="22">
        <f>(0+0.05)/2</f>
        <v>2.5000000000000001E-2</v>
      </c>
      <c r="U6" s="22">
        <v>0.22499999999999998</v>
      </c>
      <c r="V6" s="23"/>
      <c r="W6" s="22">
        <v>0.05</v>
      </c>
      <c r="X6" s="22"/>
      <c r="Y6" s="1">
        <f t="shared" si="0"/>
        <v>1.4980749999999999E-2</v>
      </c>
      <c r="Z6" s="31" t="str">
        <f t="shared" si="1"/>
        <v>=</v>
      </c>
      <c r="AB6" s="31">
        <f>333+357</f>
        <v>690</v>
      </c>
      <c r="AC6">
        <f t="shared" si="2"/>
        <v>345</v>
      </c>
      <c r="AF6">
        <v>5.9</v>
      </c>
      <c r="AG6" s="36">
        <v>2795</v>
      </c>
      <c r="AH6">
        <v>345</v>
      </c>
      <c r="AJ6" s="22"/>
    </row>
    <row r="7" spans="1:36" x14ac:dyDescent="0.2">
      <c r="A7" s="29" t="s">
        <v>1314</v>
      </c>
      <c r="B7" s="27" t="s">
        <v>1317</v>
      </c>
      <c r="C7" s="22" t="s">
        <v>1416</v>
      </c>
      <c r="D7" s="22"/>
      <c r="E7">
        <v>88.65</v>
      </c>
      <c r="F7" s="23"/>
      <c r="G7" s="23"/>
      <c r="H7" s="23"/>
      <c r="I7"/>
      <c r="J7" s="22">
        <v>3.5</v>
      </c>
      <c r="K7" s="22">
        <v>0.5</v>
      </c>
      <c r="L7" s="22"/>
      <c r="M7" s="22"/>
      <c r="N7" s="23">
        <v>0.05</v>
      </c>
      <c r="O7" s="23">
        <v>0.25</v>
      </c>
      <c r="P7" s="22">
        <v>0.17499999999999999</v>
      </c>
      <c r="Q7" s="22"/>
      <c r="R7" s="22"/>
      <c r="S7" s="23">
        <v>6</v>
      </c>
      <c r="T7" s="22"/>
      <c r="U7" s="22">
        <v>0.125</v>
      </c>
      <c r="V7" s="23"/>
      <c r="W7" s="22">
        <v>0.5</v>
      </c>
      <c r="X7" s="22"/>
      <c r="Y7" s="1">
        <f t="shared" si="0"/>
        <v>0.16854099999999997</v>
      </c>
      <c r="Z7" s="31" t="str">
        <f t="shared" si="1"/>
        <v>=</v>
      </c>
      <c r="AB7" s="31">
        <f>157+173</f>
        <v>330</v>
      </c>
      <c r="AC7">
        <f t="shared" si="2"/>
        <v>165</v>
      </c>
      <c r="AF7">
        <v>5.9</v>
      </c>
      <c r="AG7" s="36">
        <v>2795</v>
      </c>
      <c r="AH7">
        <v>165</v>
      </c>
      <c r="AJ7" s="22"/>
    </row>
    <row r="8" spans="1:36" x14ac:dyDescent="0.2">
      <c r="A8" s="29" t="s">
        <v>1314</v>
      </c>
      <c r="B8" s="27" t="s">
        <v>1317</v>
      </c>
      <c r="C8" s="22" t="s">
        <v>310</v>
      </c>
      <c r="D8" s="22"/>
      <c r="E8">
        <v>88.65</v>
      </c>
      <c r="F8" s="23"/>
      <c r="G8" s="23"/>
      <c r="H8" s="23"/>
      <c r="I8"/>
      <c r="J8" s="22">
        <v>3.5</v>
      </c>
      <c r="K8" s="22">
        <v>0.5</v>
      </c>
      <c r="L8" s="22"/>
      <c r="M8" s="22"/>
      <c r="N8" s="23">
        <v>0.05</v>
      </c>
      <c r="O8" s="23">
        <v>0.25</v>
      </c>
      <c r="P8" s="22">
        <v>0.17499999999999999</v>
      </c>
      <c r="Q8" s="22"/>
      <c r="R8" s="22"/>
      <c r="S8" s="23">
        <v>6</v>
      </c>
      <c r="T8" s="22"/>
      <c r="U8" s="22">
        <v>0.125</v>
      </c>
      <c r="V8" s="23"/>
      <c r="W8" s="22">
        <v>0.5</v>
      </c>
      <c r="X8" s="22"/>
      <c r="Y8" s="1">
        <f t="shared" si="0"/>
        <v>0.16854099999999997</v>
      </c>
      <c r="Z8" s="31" t="str">
        <f t="shared" si="1"/>
        <v>=</v>
      </c>
      <c r="AB8" s="31">
        <f>118+130</f>
        <v>248</v>
      </c>
      <c r="AC8">
        <f t="shared" si="2"/>
        <v>124</v>
      </c>
      <c r="AF8">
        <v>5.9</v>
      </c>
      <c r="AG8" s="36">
        <v>2795</v>
      </c>
      <c r="AH8">
        <v>124</v>
      </c>
      <c r="AJ8" s="22"/>
    </row>
    <row r="9" spans="1:36" x14ac:dyDescent="0.2">
      <c r="A9" s="29" t="s">
        <v>1314</v>
      </c>
      <c r="B9" s="27" t="s">
        <v>1318</v>
      </c>
      <c r="C9" s="22" t="s">
        <v>117</v>
      </c>
      <c r="D9" s="22"/>
      <c r="E9">
        <v>88.65</v>
      </c>
      <c r="F9" s="23"/>
      <c r="G9" s="23"/>
      <c r="H9" s="23"/>
      <c r="I9"/>
      <c r="J9" s="22">
        <v>3.5</v>
      </c>
      <c r="K9" s="22">
        <v>0.5</v>
      </c>
      <c r="L9" s="22"/>
      <c r="M9" s="22"/>
      <c r="N9" s="23">
        <v>0.05</v>
      </c>
      <c r="O9" s="23">
        <v>0.25</v>
      </c>
      <c r="P9" s="22">
        <v>0.17499999999999999</v>
      </c>
      <c r="Q9" s="22"/>
      <c r="R9" s="22"/>
      <c r="S9" s="23">
        <v>6</v>
      </c>
      <c r="T9" s="22"/>
      <c r="U9" s="22">
        <v>0.125</v>
      </c>
      <c r="V9" s="23"/>
      <c r="W9" s="22">
        <v>0.5</v>
      </c>
      <c r="X9" s="22"/>
      <c r="Y9" s="1">
        <f t="shared" si="0"/>
        <v>0.16854099999999997</v>
      </c>
      <c r="Z9" s="31" t="str">
        <f t="shared" si="1"/>
        <v>=</v>
      </c>
      <c r="AB9" s="31">
        <f>156+172</f>
        <v>328</v>
      </c>
      <c r="AC9">
        <f t="shared" si="2"/>
        <v>164</v>
      </c>
      <c r="AF9">
        <v>5.9</v>
      </c>
      <c r="AG9" s="36">
        <v>2795</v>
      </c>
      <c r="AH9">
        <v>164</v>
      </c>
      <c r="AJ9" s="22"/>
    </row>
    <row r="10" spans="1:36" x14ac:dyDescent="0.2">
      <c r="A10" s="28"/>
      <c r="B10" s="27" t="s">
        <v>201</v>
      </c>
      <c r="C10" s="22" t="s">
        <v>1417</v>
      </c>
      <c r="D10" s="22"/>
      <c r="E10">
        <v>84.5</v>
      </c>
      <c r="F10" s="23"/>
      <c r="G10" s="23"/>
      <c r="H10" s="23"/>
      <c r="I10"/>
      <c r="J10" s="22">
        <v>3</v>
      </c>
      <c r="K10" s="22">
        <v>0.6</v>
      </c>
      <c r="L10" s="22"/>
      <c r="M10" s="22"/>
      <c r="N10" s="23">
        <v>1</v>
      </c>
      <c r="O10" s="23">
        <v>0.25</v>
      </c>
      <c r="P10" s="22">
        <v>0.25</v>
      </c>
      <c r="Q10" s="22"/>
      <c r="R10" s="22"/>
      <c r="S10" s="23">
        <v>9.5</v>
      </c>
      <c r="T10" s="22"/>
      <c r="U10" s="22">
        <v>0.125</v>
      </c>
      <c r="V10" s="23"/>
      <c r="W10" s="22">
        <v>0.5</v>
      </c>
      <c r="X10" s="22"/>
      <c r="Y10" s="1">
        <f t="shared" si="0"/>
        <v>0.30444499999999997</v>
      </c>
      <c r="Z10" s="31" t="str">
        <f t="shared" si="1"/>
        <v>=</v>
      </c>
      <c r="AB10" s="31">
        <f>184+204</f>
        <v>388</v>
      </c>
      <c r="AC10">
        <f t="shared" si="2"/>
        <v>194</v>
      </c>
      <c r="AF10">
        <v>5.9</v>
      </c>
      <c r="AG10" s="37">
        <v>2770</v>
      </c>
      <c r="AH10">
        <v>194</v>
      </c>
      <c r="AJ10" s="22"/>
    </row>
    <row r="11" spans="1:36" x14ac:dyDescent="0.2">
      <c r="A11" s="28"/>
      <c r="B11" s="27" t="s">
        <v>138</v>
      </c>
      <c r="C11" s="22" t="s">
        <v>294</v>
      </c>
      <c r="D11" s="22"/>
      <c r="E11">
        <v>85.4</v>
      </c>
      <c r="F11" s="23"/>
      <c r="G11" s="23"/>
      <c r="H11" s="23"/>
      <c r="I11"/>
      <c r="J11" s="22">
        <v>3.5</v>
      </c>
      <c r="K11" s="22">
        <v>0.5</v>
      </c>
      <c r="L11" s="22"/>
      <c r="M11" s="22"/>
      <c r="N11" s="23">
        <v>0.27500000000000002</v>
      </c>
      <c r="O11" s="23">
        <v>0.25</v>
      </c>
      <c r="P11" s="22">
        <v>0.25</v>
      </c>
      <c r="Q11" s="22"/>
      <c r="R11" s="22"/>
      <c r="S11" s="23">
        <v>9</v>
      </c>
      <c r="T11" s="22"/>
      <c r="U11" s="22">
        <v>0.125</v>
      </c>
      <c r="V11" s="23"/>
      <c r="W11" s="22">
        <v>0.5</v>
      </c>
      <c r="X11" s="22"/>
      <c r="Y11" s="1">
        <f t="shared" si="0"/>
        <v>0.26097549999999997</v>
      </c>
      <c r="Z11" s="31" t="str">
        <f t="shared" si="1"/>
        <v>=</v>
      </c>
      <c r="AB11" s="31">
        <f>197+217</f>
        <v>414</v>
      </c>
      <c r="AC11">
        <f t="shared" si="2"/>
        <v>207</v>
      </c>
      <c r="AF11">
        <v>5.9</v>
      </c>
      <c r="AG11" s="36">
        <v>2770</v>
      </c>
      <c r="AH11">
        <v>207</v>
      </c>
      <c r="AJ11" s="22"/>
    </row>
    <row r="12" spans="1:36" x14ac:dyDescent="0.2">
      <c r="A12" s="28"/>
      <c r="B12" s="27" t="s">
        <v>200</v>
      </c>
      <c r="C12" s="22" t="s">
        <v>1418</v>
      </c>
      <c r="D12" s="22"/>
      <c r="E12">
        <v>82.4</v>
      </c>
      <c r="F12" s="23"/>
      <c r="G12" s="23"/>
      <c r="H12" s="23"/>
      <c r="I12"/>
      <c r="J12" s="22">
        <v>1</v>
      </c>
      <c r="K12" s="22">
        <v>0.6</v>
      </c>
      <c r="L12" s="22"/>
      <c r="M12" s="22"/>
      <c r="N12" s="23">
        <v>1</v>
      </c>
      <c r="O12" s="23">
        <v>0.17499999999999999</v>
      </c>
      <c r="P12" s="22">
        <v>2.5</v>
      </c>
      <c r="Q12" s="22"/>
      <c r="R12" s="22"/>
      <c r="S12" s="23">
        <v>12</v>
      </c>
      <c r="T12" s="22"/>
      <c r="U12" s="22">
        <v>0.125</v>
      </c>
      <c r="V12" s="23"/>
      <c r="W12" s="22">
        <v>0.17499999999999999</v>
      </c>
      <c r="X12" s="22"/>
      <c r="Y12" s="1">
        <f t="shared" si="0"/>
        <v>0.37381999999999993</v>
      </c>
      <c r="Z12" s="31" t="str">
        <f t="shared" si="1"/>
        <v>=</v>
      </c>
      <c r="AB12" s="31">
        <f>183+203</f>
        <v>386</v>
      </c>
      <c r="AC12">
        <f t="shared" si="2"/>
        <v>193</v>
      </c>
      <c r="AF12">
        <v>5.9</v>
      </c>
      <c r="AG12" s="36">
        <v>2715</v>
      </c>
      <c r="AH12">
        <v>193</v>
      </c>
      <c r="AJ12" s="22"/>
    </row>
    <row r="13" spans="1:36" x14ac:dyDescent="0.2">
      <c r="A13" s="28"/>
      <c r="B13" s="27" t="s">
        <v>200</v>
      </c>
      <c r="C13" s="22" t="s">
        <v>1419</v>
      </c>
      <c r="D13" s="22"/>
      <c r="E13">
        <v>82.4</v>
      </c>
      <c r="F13" s="23"/>
      <c r="G13" s="23"/>
      <c r="H13" s="23"/>
      <c r="I13"/>
      <c r="J13" s="22">
        <v>1</v>
      </c>
      <c r="K13" s="22">
        <v>0.6</v>
      </c>
      <c r="L13" s="22"/>
      <c r="M13" s="22"/>
      <c r="N13" s="23">
        <v>1</v>
      </c>
      <c r="O13" s="23">
        <v>0.17499999999999999</v>
      </c>
      <c r="P13" s="22">
        <v>2.5</v>
      </c>
      <c r="Q13" s="22"/>
      <c r="R13" s="22"/>
      <c r="S13" s="23">
        <v>12</v>
      </c>
      <c r="T13" s="22"/>
      <c r="U13" s="22">
        <v>0.125</v>
      </c>
      <c r="V13" s="23"/>
      <c r="W13" s="22">
        <v>0.17499999999999999</v>
      </c>
      <c r="X13" s="22"/>
      <c r="Y13" s="1">
        <f t="shared" si="0"/>
        <v>0.37381999999999993</v>
      </c>
      <c r="Z13" s="31" t="str">
        <f t="shared" si="1"/>
        <v>=</v>
      </c>
      <c r="AB13" s="31">
        <f>281+311</f>
        <v>592</v>
      </c>
      <c r="AC13">
        <f t="shared" si="2"/>
        <v>296</v>
      </c>
      <c r="AF13">
        <v>5.9</v>
      </c>
      <c r="AG13" s="36">
        <v>2715</v>
      </c>
      <c r="AH13">
        <v>296</v>
      </c>
      <c r="AJ13" s="22"/>
    </row>
    <row r="14" spans="1:36" x14ac:dyDescent="0.2">
      <c r="A14" s="28"/>
      <c r="B14" s="27" t="s">
        <v>166</v>
      </c>
      <c r="C14" s="22" t="s">
        <v>294</v>
      </c>
      <c r="D14" s="22"/>
      <c r="E14">
        <v>88.4</v>
      </c>
      <c r="F14" s="23"/>
      <c r="G14" s="23"/>
      <c r="H14" s="23"/>
      <c r="I14"/>
      <c r="J14" s="22">
        <v>1.8</v>
      </c>
      <c r="K14" s="22">
        <v>0.1</v>
      </c>
      <c r="L14" s="22"/>
      <c r="M14" s="22"/>
      <c r="N14" s="23">
        <v>0.5</v>
      </c>
      <c r="O14" s="23">
        <v>0.05</v>
      </c>
      <c r="P14" s="22"/>
      <c r="Q14" s="22"/>
      <c r="R14" s="22"/>
      <c r="S14" s="23">
        <v>9</v>
      </c>
      <c r="T14" s="22"/>
      <c r="U14" s="22">
        <v>0.1</v>
      </c>
      <c r="V14" s="23"/>
      <c r="W14" s="22">
        <v>0.1</v>
      </c>
      <c r="X14" s="22"/>
      <c r="Y14" s="1">
        <f t="shared" si="0"/>
        <v>0.27015999999999996</v>
      </c>
      <c r="Z14" s="31" t="str">
        <f t="shared" si="1"/>
        <v>=</v>
      </c>
      <c r="AB14" s="31">
        <f>244+270</f>
        <v>514</v>
      </c>
      <c r="AC14">
        <f t="shared" si="2"/>
        <v>257</v>
      </c>
      <c r="AF14">
        <v>5.9</v>
      </c>
      <c r="AG14" s="36">
        <v>2795</v>
      </c>
      <c r="AH14">
        <v>257</v>
      </c>
      <c r="AJ14" s="22"/>
    </row>
    <row r="15" spans="1:36" x14ac:dyDescent="0.2">
      <c r="A15" s="29" t="s">
        <v>1315</v>
      </c>
      <c r="B15" s="27" t="s">
        <v>1319</v>
      </c>
      <c r="C15" s="22" t="s">
        <v>1416</v>
      </c>
      <c r="D15" s="22"/>
      <c r="E15">
        <v>92.199999999999989</v>
      </c>
      <c r="F15" s="23"/>
      <c r="G15" s="23"/>
      <c r="H15" s="23"/>
      <c r="I15">
        <v>0.125</v>
      </c>
      <c r="J15" s="22">
        <v>1.25</v>
      </c>
      <c r="K15" s="22">
        <v>0.3</v>
      </c>
      <c r="L15" s="22"/>
      <c r="M15" s="22"/>
      <c r="N15" s="23">
        <v>0.5</v>
      </c>
      <c r="O15" s="23">
        <v>0.25</v>
      </c>
      <c r="P15" s="22"/>
      <c r="Q15" s="22"/>
      <c r="R15" s="22"/>
      <c r="S15" s="23">
        <v>5</v>
      </c>
      <c r="T15" s="22"/>
      <c r="U15" s="22">
        <v>0.17499999999999999</v>
      </c>
      <c r="V15" s="23"/>
      <c r="W15" s="22">
        <v>0.17499999999999999</v>
      </c>
      <c r="X15" s="22"/>
      <c r="Y15" s="1">
        <f t="shared" si="0"/>
        <v>0.16207625000000001</v>
      </c>
      <c r="Z15" s="31" t="str">
        <f t="shared" si="1"/>
        <v>=</v>
      </c>
      <c r="AB15" s="31">
        <f>165+182</f>
        <v>347</v>
      </c>
      <c r="AC15">
        <f>AB15/2</f>
        <v>173.5</v>
      </c>
      <c r="AF15">
        <v>5.9</v>
      </c>
      <c r="AG15" s="36">
        <v>2710</v>
      </c>
      <c r="AH15">
        <v>173.5</v>
      </c>
      <c r="AJ15" s="22"/>
    </row>
    <row r="16" spans="1:36" x14ac:dyDescent="0.2">
      <c r="A16" s="29" t="s">
        <v>1315</v>
      </c>
      <c r="B16" s="27" t="s">
        <v>1320</v>
      </c>
      <c r="C16" s="22" t="s">
        <v>117</v>
      </c>
      <c r="D16" s="22"/>
      <c r="E16">
        <v>92.199999999999989</v>
      </c>
      <c r="F16" s="23"/>
      <c r="G16" s="23"/>
      <c r="H16" s="23"/>
      <c r="I16">
        <v>0.125</v>
      </c>
      <c r="J16" s="22">
        <v>1.25</v>
      </c>
      <c r="K16" s="22">
        <v>0.3</v>
      </c>
      <c r="L16" s="22"/>
      <c r="M16" s="22"/>
      <c r="N16" s="23">
        <v>0.5</v>
      </c>
      <c r="O16" s="23">
        <v>0.25</v>
      </c>
      <c r="P16" s="22"/>
      <c r="Q16" s="22"/>
      <c r="R16" s="22"/>
      <c r="S16" s="23">
        <v>5</v>
      </c>
      <c r="T16" s="22"/>
      <c r="U16" s="22">
        <v>0.17499999999999999</v>
      </c>
      <c r="V16" s="23"/>
      <c r="W16" s="22">
        <v>0.17499999999999999</v>
      </c>
      <c r="X16" s="22"/>
      <c r="Y16" s="1">
        <f t="shared" si="0"/>
        <v>0.16207625000000001</v>
      </c>
      <c r="Z16" s="31" t="str">
        <f t="shared" si="1"/>
        <v>=</v>
      </c>
      <c r="AB16" s="31">
        <f>204+232</f>
        <v>436</v>
      </c>
      <c r="AC16">
        <f t="shared" si="2"/>
        <v>218</v>
      </c>
      <c r="AF16">
        <v>5.9</v>
      </c>
      <c r="AG16" s="36">
        <v>2710</v>
      </c>
      <c r="AH16">
        <v>218</v>
      </c>
      <c r="AJ16" s="22"/>
    </row>
    <row r="17" spans="1:36" x14ac:dyDescent="0.2">
      <c r="A17" s="29" t="s">
        <v>1316</v>
      </c>
      <c r="B17" s="27" t="s">
        <v>1321</v>
      </c>
      <c r="C17" s="22" t="s">
        <v>1420</v>
      </c>
      <c r="D17" s="22"/>
      <c r="E17">
        <v>91.699999999999989</v>
      </c>
      <c r="F17" s="23"/>
      <c r="G17" s="23"/>
      <c r="H17" s="23"/>
      <c r="I17">
        <v>0</v>
      </c>
      <c r="J17" s="22">
        <v>0.125</v>
      </c>
      <c r="K17" s="22">
        <v>0.3</v>
      </c>
      <c r="L17" s="22"/>
      <c r="M17" s="22"/>
      <c r="N17" s="23">
        <v>0.32500000000000001</v>
      </c>
      <c r="O17" s="23">
        <v>0.17499999999999999</v>
      </c>
      <c r="P17" s="22"/>
      <c r="Q17" s="22"/>
      <c r="R17" s="22"/>
      <c r="S17" s="23">
        <v>7</v>
      </c>
      <c r="T17" s="22"/>
      <c r="U17" s="22">
        <v>0.125</v>
      </c>
      <c r="V17" s="23"/>
      <c r="W17" s="22">
        <v>0.17499999999999999</v>
      </c>
      <c r="X17" s="22"/>
      <c r="Y17" s="1">
        <f t="shared" si="0"/>
        <v>0.20751649999999999</v>
      </c>
      <c r="Z17" s="31" t="str">
        <f t="shared" si="1"/>
        <v>=</v>
      </c>
      <c r="AB17" s="31">
        <f>105+116</f>
        <v>221</v>
      </c>
      <c r="AC17">
        <f t="shared" si="2"/>
        <v>110.5</v>
      </c>
      <c r="AF17">
        <v>5.9</v>
      </c>
      <c r="AG17" s="36">
        <v>2685</v>
      </c>
      <c r="AH17">
        <v>110.5</v>
      </c>
      <c r="AJ17" s="22"/>
    </row>
    <row r="18" spans="1:36" x14ac:dyDescent="0.2">
      <c r="A18" s="29" t="s">
        <v>1316</v>
      </c>
      <c r="B18" s="27" t="s">
        <v>1322</v>
      </c>
      <c r="C18" s="22" t="s">
        <v>337</v>
      </c>
      <c r="D18" s="22"/>
      <c r="E18">
        <v>91.699999999999989</v>
      </c>
      <c r="F18" s="23"/>
      <c r="G18" s="23"/>
      <c r="H18" s="23"/>
      <c r="I18">
        <v>0</v>
      </c>
      <c r="J18" s="22">
        <v>0.125</v>
      </c>
      <c r="K18" s="22">
        <v>0.3</v>
      </c>
      <c r="L18" s="22"/>
      <c r="M18" s="22"/>
      <c r="N18" s="23">
        <v>0.32500000000000001</v>
      </c>
      <c r="O18" s="23">
        <v>0.17499999999999999</v>
      </c>
      <c r="P18" s="22"/>
      <c r="Q18" s="22"/>
      <c r="R18" s="22"/>
      <c r="S18" s="23">
        <v>7</v>
      </c>
      <c r="T18" s="22"/>
      <c r="U18" s="22">
        <v>0.125</v>
      </c>
      <c r="V18" s="23"/>
      <c r="W18" s="22">
        <v>0.17499999999999999</v>
      </c>
      <c r="X18" s="22"/>
      <c r="Y18" s="1">
        <f t="shared" si="0"/>
        <v>0.20751649999999999</v>
      </c>
      <c r="Z18" s="31" t="str">
        <f t="shared" si="1"/>
        <v>=</v>
      </c>
      <c r="AB18" s="31">
        <f>164+182</f>
        <v>346</v>
      </c>
      <c r="AC18">
        <f t="shared" si="2"/>
        <v>173</v>
      </c>
      <c r="AF18">
        <v>5.9</v>
      </c>
      <c r="AG18" s="36">
        <v>2685</v>
      </c>
      <c r="AH18">
        <v>173</v>
      </c>
      <c r="AJ18" s="22"/>
    </row>
    <row r="19" spans="1:36" x14ac:dyDescent="0.2">
      <c r="A19" s="29" t="s">
        <v>1316</v>
      </c>
      <c r="B19" s="27" t="s">
        <v>1322</v>
      </c>
      <c r="C19" s="22" t="s">
        <v>310</v>
      </c>
      <c r="D19" s="22"/>
      <c r="E19">
        <v>91.699999999999989</v>
      </c>
      <c r="F19" s="23"/>
      <c r="G19" s="23"/>
      <c r="H19" s="23"/>
      <c r="I19">
        <v>0</v>
      </c>
      <c r="J19" s="22">
        <v>0.125</v>
      </c>
      <c r="K19" s="22">
        <v>0.3</v>
      </c>
      <c r="L19" s="22"/>
      <c r="M19" s="22"/>
      <c r="N19" s="23">
        <v>0.32500000000000001</v>
      </c>
      <c r="O19" s="23">
        <v>0.17499999999999999</v>
      </c>
      <c r="P19" s="22"/>
      <c r="Q19" s="22"/>
      <c r="R19" s="22"/>
      <c r="S19" s="23">
        <v>7</v>
      </c>
      <c r="T19" s="22"/>
      <c r="U19" s="22">
        <v>0.125</v>
      </c>
      <c r="V19" s="23"/>
      <c r="W19" s="22">
        <v>0.17499999999999999</v>
      </c>
      <c r="X19" s="22"/>
      <c r="Y19" s="1">
        <f>3.262*F19/100+4.012*G19/100+4.36*H19/100+2.333*I19/100+3.327*L19/100+4.082*N19/100+2.775*S19/100+2.165*V19/100</f>
        <v>0.20751649999999999</v>
      </c>
      <c r="Z19" s="31" t="str">
        <f t="shared" si="1"/>
        <v>=</v>
      </c>
      <c r="AB19" s="31">
        <f>118+130</f>
        <v>248</v>
      </c>
      <c r="AC19">
        <f t="shared" si="2"/>
        <v>124</v>
      </c>
      <c r="AF19">
        <v>5.9</v>
      </c>
      <c r="AG19" s="36">
        <v>2685</v>
      </c>
      <c r="AH19">
        <v>124</v>
      </c>
      <c r="AJ19" s="22"/>
    </row>
    <row r="20" spans="1:36" x14ac:dyDescent="0.2">
      <c r="A20" s="29" t="s">
        <v>1316</v>
      </c>
      <c r="B20" s="27" t="s">
        <v>1321</v>
      </c>
      <c r="C20" s="22" t="s">
        <v>1420</v>
      </c>
      <c r="D20" s="22"/>
      <c r="E20">
        <v>91.699999999999989</v>
      </c>
      <c r="F20" s="23"/>
      <c r="G20" s="23"/>
      <c r="H20" s="23"/>
      <c r="I20">
        <v>0</v>
      </c>
      <c r="J20" s="22">
        <v>0.125</v>
      </c>
      <c r="K20" s="22">
        <v>0.3</v>
      </c>
      <c r="L20" s="22"/>
      <c r="M20" s="22"/>
      <c r="N20" s="23">
        <v>0.32500000000000001</v>
      </c>
      <c r="O20" s="23">
        <v>0.17499999999999999</v>
      </c>
      <c r="P20" s="22"/>
      <c r="Q20" s="22"/>
      <c r="R20" s="22"/>
      <c r="S20" s="23">
        <v>7</v>
      </c>
      <c r="T20" s="22"/>
      <c r="U20" s="22">
        <v>0.125</v>
      </c>
      <c r="V20" s="23"/>
      <c r="W20" s="22">
        <v>0.17499999999999999</v>
      </c>
      <c r="X20" s="22"/>
      <c r="Y20" s="1">
        <f t="shared" si="0"/>
        <v>0.20751649999999999</v>
      </c>
      <c r="Z20" s="31" t="str">
        <f t="shared" si="1"/>
        <v>=</v>
      </c>
      <c r="AB20" s="31">
        <f>146+172</f>
        <v>318</v>
      </c>
      <c r="AC20">
        <f t="shared" si="2"/>
        <v>159</v>
      </c>
      <c r="AF20">
        <v>5.9</v>
      </c>
      <c r="AG20" s="36">
        <v>2685</v>
      </c>
      <c r="AH20">
        <v>159</v>
      </c>
      <c r="AJ20" s="22"/>
    </row>
    <row r="21" spans="1:36" x14ac:dyDescent="0.2">
      <c r="A21" s="28"/>
      <c r="B21" s="27" t="s">
        <v>225</v>
      </c>
      <c r="C21" s="22" t="s">
        <v>1421</v>
      </c>
      <c r="D21" s="22"/>
      <c r="E21">
        <v>92.15</v>
      </c>
      <c r="F21" s="23"/>
      <c r="G21" s="23"/>
      <c r="H21" s="23"/>
      <c r="I21">
        <v>0</v>
      </c>
      <c r="J21" s="22">
        <v>2.5000000000000001E-2</v>
      </c>
      <c r="K21" s="22">
        <v>7.4999999999999997E-2</v>
      </c>
      <c r="L21" s="22"/>
      <c r="M21" s="22"/>
      <c r="N21" s="23">
        <v>0.52500000000000002</v>
      </c>
      <c r="O21" s="23">
        <v>1.4999999999999999E-2</v>
      </c>
      <c r="P21" s="22"/>
      <c r="Q21" s="22"/>
      <c r="R21" s="22"/>
      <c r="S21" s="23">
        <v>7</v>
      </c>
      <c r="T21" s="22"/>
      <c r="U21" s="22">
        <v>0.1</v>
      </c>
      <c r="V21" s="23"/>
      <c r="W21" s="22">
        <v>2.5000000000000001E-2</v>
      </c>
      <c r="X21" s="22"/>
      <c r="Y21" s="1">
        <f t="shared" si="0"/>
        <v>0.2156805</v>
      </c>
      <c r="Z21" s="31" t="str">
        <f t="shared" si="1"/>
        <v>=</v>
      </c>
      <c r="AB21" s="31">
        <f>281+311</f>
        <v>592</v>
      </c>
      <c r="AC21">
        <f t="shared" si="2"/>
        <v>296</v>
      </c>
      <c r="AF21">
        <v>5.9</v>
      </c>
      <c r="AG21" s="36">
        <v>2715</v>
      </c>
      <c r="AH21">
        <v>296</v>
      </c>
      <c r="AJ21" s="22"/>
    </row>
    <row r="22" spans="1:36" x14ac:dyDescent="0.2">
      <c r="A22" s="28"/>
      <c r="B22" s="27" t="s">
        <v>235</v>
      </c>
      <c r="C22" s="22" t="s">
        <v>1422</v>
      </c>
      <c r="D22" s="22"/>
      <c r="E22">
        <v>90</v>
      </c>
      <c r="F22" s="23"/>
      <c r="G22" s="23"/>
      <c r="H22" s="23"/>
      <c r="I22">
        <v>0</v>
      </c>
      <c r="J22" s="22">
        <v>0.1</v>
      </c>
      <c r="K22" s="22">
        <v>0.1</v>
      </c>
      <c r="L22" s="22"/>
      <c r="M22" s="22"/>
      <c r="N22" s="23">
        <v>0.6</v>
      </c>
      <c r="O22" s="23">
        <v>0.05</v>
      </c>
      <c r="P22" s="22"/>
      <c r="Q22" s="22"/>
      <c r="R22" s="22"/>
      <c r="S22" s="23">
        <v>9</v>
      </c>
      <c r="T22" s="22"/>
      <c r="U22" s="22">
        <v>0.1</v>
      </c>
      <c r="V22" s="23"/>
      <c r="W22" s="22">
        <v>0.05</v>
      </c>
      <c r="X22" s="22"/>
      <c r="Y22" s="1">
        <f t="shared" si="0"/>
        <v>0.27424199999999999</v>
      </c>
      <c r="Z22" s="31" t="str">
        <f t="shared" si="1"/>
        <v>=</v>
      </c>
      <c r="AB22" s="31">
        <f>221+245</f>
        <v>466</v>
      </c>
      <c r="AC22">
        <f t="shared" si="2"/>
        <v>233</v>
      </c>
      <c r="AF22">
        <v>5.9</v>
      </c>
      <c r="AG22" s="36">
        <v>2685</v>
      </c>
      <c r="AH22">
        <v>233</v>
      </c>
      <c r="AJ22" s="22"/>
    </row>
    <row r="23" spans="1:36" x14ac:dyDescent="0.2">
      <c r="A23" s="29" t="s">
        <v>1323</v>
      </c>
      <c r="B23" s="27" t="s">
        <v>1324</v>
      </c>
      <c r="C23" s="22" t="s">
        <v>311</v>
      </c>
      <c r="D23" s="22"/>
      <c r="E23">
        <v>87.8</v>
      </c>
      <c r="F23" s="23"/>
      <c r="G23" s="23"/>
      <c r="H23" s="23"/>
      <c r="I23">
        <v>0</v>
      </c>
      <c r="J23" s="22">
        <v>0.3</v>
      </c>
      <c r="K23" s="22">
        <v>1</v>
      </c>
      <c r="L23" s="22"/>
      <c r="M23" s="22"/>
      <c r="N23" s="23">
        <v>0.5</v>
      </c>
      <c r="O23" s="23">
        <v>0.17499999999999999</v>
      </c>
      <c r="P23" s="22">
        <v>0.25</v>
      </c>
      <c r="Q23" s="22"/>
      <c r="R23" s="22"/>
      <c r="S23" s="23">
        <v>9.5</v>
      </c>
      <c r="T23" s="22">
        <f>(0+0.15)/2</f>
        <v>7.4999999999999997E-2</v>
      </c>
      <c r="U23" s="22"/>
      <c r="V23" s="23"/>
      <c r="W23" s="22">
        <v>0.25</v>
      </c>
      <c r="X23" s="22"/>
      <c r="Y23" s="1">
        <f t="shared" si="0"/>
        <v>0.28403499999999998</v>
      </c>
      <c r="Z23" s="31" t="str">
        <f t="shared" si="1"/>
        <v>=</v>
      </c>
      <c r="AB23" s="31">
        <f>163+181</f>
        <v>344</v>
      </c>
      <c r="AC23">
        <f t="shared" si="2"/>
        <v>172</v>
      </c>
      <c r="AF23">
        <v>5.9</v>
      </c>
      <c r="AG23" s="36">
        <v>2685</v>
      </c>
      <c r="AH23">
        <v>172</v>
      </c>
      <c r="AJ23" s="22"/>
    </row>
    <row r="24" spans="1:36" x14ac:dyDescent="0.2">
      <c r="A24" s="29" t="s">
        <v>1291</v>
      </c>
      <c r="B24" s="27" t="s">
        <v>1325</v>
      </c>
      <c r="C24" s="22" t="s">
        <v>311</v>
      </c>
      <c r="D24" s="22"/>
      <c r="E24">
        <v>84.85</v>
      </c>
      <c r="F24" s="23"/>
      <c r="G24" s="23"/>
      <c r="H24" s="23"/>
      <c r="I24">
        <v>0</v>
      </c>
      <c r="J24" s="22">
        <v>3.5</v>
      </c>
      <c r="K24" s="22">
        <v>0.65</v>
      </c>
      <c r="L24" s="22"/>
      <c r="M24" s="22"/>
      <c r="N24" s="23">
        <v>0.05</v>
      </c>
      <c r="O24" s="23">
        <v>0.25</v>
      </c>
      <c r="P24" s="22">
        <v>0.25</v>
      </c>
      <c r="Q24" s="22"/>
      <c r="R24" s="22"/>
      <c r="S24" s="23">
        <v>8.5</v>
      </c>
      <c r="T24" s="22">
        <f>(0+0.35)/2</f>
        <v>0.17499999999999999</v>
      </c>
      <c r="U24" s="22"/>
      <c r="V24" s="23"/>
      <c r="W24" s="22">
        <v>1.5</v>
      </c>
      <c r="X24" s="22"/>
      <c r="Y24" s="1">
        <f t="shared" si="0"/>
        <v>0.23791599999999996</v>
      </c>
      <c r="Z24" s="31" t="str">
        <f t="shared" si="1"/>
        <v>=</v>
      </c>
      <c r="AB24" s="31">
        <f>152+168</f>
        <v>320</v>
      </c>
      <c r="AC24">
        <f t="shared" si="2"/>
        <v>160</v>
      </c>
      <c r="AF24">
        <v>5.9</v>
      </c>
      <c r="AG24" s="36">
        <v>2740</v>
      </c>
      <c r="AH24">
        <v>160</v>
      </c>
      <c r="AJ24" s="22"/>
    </row>
    <row r="25" spans="1:36" x14ac:dyDescent="0.2">
      <c r="A25" s="28"/>
      <c r="B25" s="27" t="s">
        <v>272</v>
      </c>
      <c r="C25" s="22" t="s">
        <v>311</v>
      </c>
      <c r="D25" s="22"/>
      <c r="E25">
        <v>84.05</v>
      </c>
      <c r="F25" s="23"/>
      <c r="G25" s="23"/>
      <c r="H25" s="23"/>
      <c r="I25">
        <v>0</v>
      </c>
      <c r="J25" s="22">
        <v>2.5</v>
      </c>
      <c r="K25" s="22">
        <v>0.65</v>
      </c>
      <c r="L25" s="22"/>
      <c r="M25" s="22"/>
      <c r="N25" s="23">
        <v>0.05</v>
      </c>
      <c r="O25" s="23">
        <v>0.25</v>
      </c>
      <c r="P25" s="22">
        <v>0.15</v>
      </c>
      <c r="Q25" s="22"/>
      <c r="R25" s="22"/>
      <c r="S25" s="23">
        <v>10.5</v>
      </c>
      <c r="T25" s="22">
        <f>(0+0.15)/2</f>
        <v>7.4999999999999997E-2</v>
      </c>
      <c r="U25" s="22"/>
      <c r="V25" s="23"/>
      <c r="W25" s="22">
        <v>1.5</v>
      </c>
      <c r="X25" s="22"/>
      <c r="Y25" s="1">
        <f t="shared" si="0"/>
        <v>0.29341600000000001</v>
      </c>
      <c r="Z25" s="31" t="str">
        <f t="shared" si="1"/>
        <v>=</v>
      </c>
      <c r="AB25" s="31">
        <f>143+158</f>
        <v>301</v>
      </c>
      <c r="AC25">
        <f t="shared" si="2"/>
        <v>150.5</v>
      </c>
      <c r="AF25">
        <v>5.9</v>
      </c>
      <c r="AG25" s="36">
        <v>2740</v>
      </c>
      <c r="AH25">
        <v>150.5</v>
      </c>
      <c r="AJ25" s="22"/>
    </row>
    <row r="26" spans="1:36" x14ac:dyDescent="0.2">
      <c r="A26" s="28"/>
      <c r="B26" s="27" t="s">
        <v>1287</v>
      </c>
      <c r="C26" s="22" t="s">
        <v>284</v>
      </c>
      <c r="D26" s="22"/>
      <c r="E26">
        <v>82.4</v>
      </c>
      <c r="F26" s="23"/>
      <c r="G26" s="23"/>
      <c r="H26" s="23"/>
      <c r="I26">
        <v>0</v>
      </c>
      <c r="J26" s="22">
        <v>1</v>
      </c>
      <c r="K26" s="22">
        <v>0.6</v>
      </c>
      <c r="L26" s="22"/>
      <c r="M26" s="22"/>
      <c r="N26" s="23">
        <v>1</v>
      </c>
      <c r="O26" s="23">
        <v>0.17499999999999999</v>
      </c>
      <c r="P26" s="22">
        <v>2.5</v>
      </c>
      <c r="Q26" s="22"/>
      <c r="R26" s="22"/>
      <c r="S26" s="23">
        <v>12</v>
      </c>
      <c r="T26" s="22"/>
      <c r="U26" s="22">
        <v>0.125</v>
      </c>
      <c r="V26" s="23"/>
      <c r="W26" s="22">
        <v>0.17499999999999999</v>
      </c>
      <c r="X26" s="22"/>
      <c r="Y26" s="1">
        <f t="shared" si="0"/>
        <v>0.37381999999999993</v>
      </c>
      <c r="Z26" s="31" t="str">
        <f t="shared" si="1"/>
        <v>=</v>
      </c>
      <c r="AB26" s="31">
        <f>124+137</f>
        <v>261</v>
      </c>
      <c r="AC26">
        <f t="shared" si="2"/>
        <v>130.5</v>
      </c>
      <c r="AF26">
        <v>5.9</v>
      </c>
      <c r="AG26" s="36">
        <v>2685</v>
      </c>
      <c r="AH26">
        <v>130.5</v>
      </c>
      <c r="AJ26" s="22"/>
    </row>
    <row r="27" spans="1:36" x14ac:dyDescent="0.2">
      <c r="A27" s="28"/>
      <c r="B27" s="27" t="s">
        <v>1288</v>
      </c>
      <c r="C27" s="22" t="s">
        <v>294</v>
      </c>
      <c r="D27" s="22"/>
      <c r="E27">
        <v>82.4</v>
      </c>
      <c r="F27" s="23"/>
      <c r="G27" s="23"/>
      <c r="H27" s="23"/>
      <c r="I27">
        <v>0</v>
      </c>
      <c r="J27" s="22">
        <v>1</v>
      </c>
      <c r="K27" s="22">
        <v>0.6</v>
      </c>
      <c r="L27" s="22"/>
      <c r="M27" s="22"/>
      <c r="N27" s="23">
        <v>1</v>
      </c>
      <c r="O27" s="23">
        <v>0.17499999999999999</v>
      </c>
      <c r="P27" s="22">
        <v>2.5</v>
      </c>
      <c r="Q27" s="22"/>
      <c r="R27" s="22"/>
      <c r="S27" s="23">
        <v>12</v>
      </c>
      <c r="T27" s="22"/>
      <c r="U27" s="22">
        <v>0.125</v>
      </c>
      <c r="V27" s="23"/>
      <c r="W27" s="22">
        <v>0.17499999999999999</v>
      </c>
      <c r="X27" s="22"/>
      <c r="Y27" s="1">
        <f t="shared" si="0"/>
        <v>0.37381999999999993</v>
      </c>
      <c r="Z27" s="31" t="str">
        <f t="shared" si="1"/>
        <v>=</v>
      </c>
      <c r="AB27" s="31">
        <f>266+294</f>
        <v>560</v>
      </c>
      <c r="AC27">
        <f t="shared" si="2"/>
        <v>280</v>
      </c>
      <c r="AF27">
        <v>5.9</v>
      </c>
      <c r="AG27" s="36">
        <v>2685</v>
      </c>
      <c r="AH27">
        <v>280</v>
      </c>
      <c r="AJ27" s="22"/>
    </row>
    <row r="28" spans="1:36" x14ac:dyDescent="0.2">
      <c r="A28" s="29" t="s">
        <v>1316</v>
      </c>
      <c r="B28" s="27" t="s">
        <v>1326</v>
      </c>
      <c r="C28" s="22" t="s">
        <v>312</v>
      </c>
      <c r="D28" s="22"/>
      <c r="E28">
        <v>92.15</v>
      </c>
      <c r="F28" s="23"/>
      <c r="G28" s="23"/>
      <c r="H28" s="23"/>
      <c r="I28">
        <v>0</v>
      </c>
      <c r="J28" s="22">
        <v>0.1</v>
      </c>
      <c r="K28" s="22">
        <v>0.1</v>
      </c>
      <c r="L28" s="22"/>
      <c r="M28" s="22"/>
      <c r="N28" s="23">
        <v>0.35</v>
      </c>
      <c r="O28" s="23">
        <v>0.05</v>
      </c>
      <c r="P28" s="22"/>
      <c r="Q28" s="22"/>
      <c r="R28" s="22"/>
      <c r="S28" s="23">
        <v>7</v>
      </c>
      <c r="T28" s="22"/>
      <c r="U28" s="22">
        <v>0.1</v>
      </c>
      <c r="V28" s="23"/>
      <c r="W28" s="22">
        <v>0.05</v>
      </c>
      <c r="X28" s="22"/>
      <c r="Y28" s="1">
        <f t="shared" si="0"/>
        <v>0.208537</v>
      </c>
      <c r="Z28" s="31" t="str">
        <f t="shared" si="1"/>
        <v>=</v>
      </c>
      <c r="AB28" s="31">
        <f>85.5+94.5</f>
        <v>180</v>
      </c>
      <c r="AC28">
        <f t="shared" si="2"/>
        <v>90</v>
      </c>
      <c r="AF28">
        <v>5.9</v>
      </c>
      <c r="AG28" s="36">
        <v>2685</v>
      </c>
      <c r="AH28">
        <v>90</v>
      </c>
      <c r="AJ28" s="22"/>
    </row>
    <row r="29" spans="1:36" x14ac:dyDescent="0.2">
      <c r="A29" s="29" t="s">
        <v>1316</v>
      </c>
      <c r="B29" s="27" t="s">
        <v>1326</v>
      </c>
      <c r="C29" s="22" t="s">
        <v>313</v>
      </c>
      <c r="D29" s="22"/>
      <c r="E29">
        <v>92.15</v>
      </c>
      <c r="F29" s="23"/>
      <c r="G29" s="23"/>
      <c r="H29" s="23"/>
      <c r="I29">
        <v>0</v>
      </c>
      <c r="J29" s="22">
        <v>0.1</v>
      </c>
      <c r="K29" s="22">
        <v>0.1</v>
      </c>
      <c r="L29" s="22"/>
      <c r="M29" s="22"/>
      <c r="N29" s="23">
        <v>0.35</v>
      </c>
      <c r="O29" s="23">
        <v>0.05</v>
      </c>
      <c r="P29" s="22"/>
      <c r="Q29" s="22"/>
      <c r="R29" s="22"/>
      <c r="S29" s="23">
        <v>7</v>
      </c>
      <c r="T29" s="22"/>
      <c r="U29" s="22">
        <v>0.1</v>
      </c>
      <c r="V29" s="23"/>
      <c r="W29" s="22">
        <v>0.05</v>
      </c>
      <c r="X29" s="22"/>
      <c r="Y29" s="1">
        <f t="shared" si="0"/>
        <v>0.208537</v>
      </c>
      <c r="Z29" s="31" t="str">
        <f t="shared" si="1"/>
        <v>=</v>
      </c>
      <c r="AB29" s="31">
        <f>85.5+94.5</f>
        <v>180</v>
      </c>
      <c r="AC29">
        <f t="shared" si="2"/>
        <v>90</v>
      </c>
      <c r="AF29">
        <v>5.9</v>
      </c>
      <c r="AG29" s="36">
        <v>2685</v>
      </c>
      <c r="AH29">
        <v>90</v>
      </c>
      <c r="AJ29" s="22"/>
    </row>
    <row r="30" spans="1:36" x14ac:dyDescent="0.2">
      <c r="A30" s="29" t="s">
        <v>1316</v>
      </c>
      <c r="B30" s="27" t="s">
        <v>1326</v>
      </c>
      <c r="C30" s="22" t="s">
        <v>310</v>
      </c>
      <c r="D30" s="22"/>
      <c r="E30">
        <v>92.15</v>
      </c>
      <c r="F30" s="23"/>
      <c r="G30" s="23"/>
      <c r="H30" s="23"/>
      <c r="I30">
        <v>0</v>
      </c>
      <c r="J30" s="22">
        <v>0.1</v>
      </c>
      <c r="K30" s="22">
        <v>0.1</v>
      </c>
      <c r="L30" s="22"/>
      <c r="M30" s="22"/>
      <c r="N30" s="23">
        <v>0.35</v>
      </c>
      <c r="O30" s="23">
        <v>0.05</v>
      </c>
      <c r="P30" s="22"/>
      <c r="Q30" s="22"/>
      <c r="R30" s="22"/>
      <c r="S30" s="23">
        <v>7</v>
      </c>
      <c r="T30" s="22"/>
      <c r="U30" s="22">
        <v>0.1</v>
      </c>
      <c r="V30" s="23"/>
      <c r="W30" s="22">
        <v>0.05</v>
      </c>
      <c r="X30" s="22"/>
      <c r="Y30" s="1">
        <f t="shared" si="0"/>
        <v>0.208537</v>
      </c>
      <c r="Z30" s="31" t="str">
        <f t="shared" si="1"/>
        <v>=</v>
      </c>
      <c r="AB30" s="31">
        <f>81.5+83.6</f>
        <v>165.1</v>
      </c>
      <c r="AC30">
        <f t="shared" si="2"/>
        <v>82.55</v>
      </c>
      <c r="AF30">
        <v>5.9</v>
      </c>
      <c r="AG30" s="36">
        <v>2685</v>
      </c>
      <c r="AH30">
        <v>82.55</v>
      </c>
      <c r="AJ30" s="22"/>
    </row>
    <row r="31" spans="1:36" x14ac:dyDescent="0.2">
      <c r="A31" s="29" t="s">
        <v>1316</v>
      </c>
      <c r="B31" s="27" t="s">
        <v>1326</v>
      </c>
      <c r="C31" s="22" t="s">
        <v>117</v>
      </c>
      <c r="D31" s="22"/>
      <c r="E31">
        <v>92.15</v>
      </c>
      <c r="F31" s="23"/>
      <c r="G31" s="23"/>
      <c r="H31" s="23"/>
      <c r="I31">
        <v>0</v>
      </c>
      <c r="J31" s="22">
        <v>0.1</v>
      </c>
      <c r="K31" s="22">
        <v>0.1</v>
      </c>
      <c r="L31" s="22"/>
      <c r="M31" s="22"/>
      <c r="N31" s="23">
        <v>0.35</v>
      </c>
      <c r="O31" s="23">
        <v>0.05</v>
      </c>
      <c r="P31" s="22"/>
      <c r="Q31" s="22"/>
      <c r="R31" s="22"/>
      <c r="S31" s="23">
        <v>7</v>
      </c>
      <c r="T31" s="22"/>
      <c r="U31" s="22">
        <v>0.1</v>
      </c>
      <c r="V31" s="23"/>
      <c r="W31" s="22">
        <v>0.05</v>
      </c>
      <c r="X31" s="22"/>
      <c r="Y31" s="1">
        <f t="shared" si="0"/>
        <v>0.208537</v>
      </c>
      <c r="Z31" s="31" t="str">
        <f t="shared" si="1"/>
        <v>=</v>
      </c>
      <c r="AB31" s="31">
        <f>197+213</f>
        <v>410</v>
      </c>
      <c r="AC31">
        <f t="shared" si="2"/>
        <v>205</v>
      </c>
      <c r="AF31">
        <v>5.9</v>
      </c>
      <c r="AG31" s="36">
        <v>2685</v>
      </c>
      <c r="AH31">
        <v>205</v>
      </c>
      <c r="AJ31" s="22"/>
    </row>
    <row r="32" spans="1:36" x14ac:dyDescent="0.2">
      <c r="A32" s="28"/>
      <c r="B32" s="27" t="s">
        <v>320</v>
      </c>
      <c r="C32" s="22" t="s">
        <v>321</v>
      </c>
      <c r="D32" s="22"/>
      <c r="E32">
        <v>91.9</v>
      </c>
      <c r="F32" s="23">
        <f>(0.04+0.07)/2</f>
        <v>5.5000000000000007E-2</v>
      </c>
      <c r="G32" s="23"/>
      <c r="H32" s="23"/>
      <c r="I32">
        <v>0</v>
      </c>
      <c r="J32" s="22">
        <v>0.1</v>
      </c>
      <c r="K32" s="22">
        <v>0.1</v>
      </c>
      <c r="L32" s="22"/>
      <c r="M32" s="22"/>
      <c r="N32" s="23">
        <v>0.55000000000000004</v>
      </c>
      <c r="O32" s="23">
        <v>0.05</v>
      </c>
      <c r="P32" s="22"/>
      <c r="Q32" s="22"/>
      <c r="R32" s="22"/>
      <c r="S32" s="23">
        <v>7</v>
      </c>
      <c r="T32" s="22"/>
      <c r="U32" s="22">
        <v>0.12000000000000001</v>
      </c>
      <c r="V32" s="23"/>
      <c r="W32" s="22">
        <v>0.05</v>
      </c>
      <c r="X32" s="22"/>
      <c r="Y32" s="1">
        <f t="shared" si="0"/>
        <v>0.2184951</v>
      </c>
      <c r="Z32" s="31" t="str">
        <f t="shared" si="1"/>
        <v>=</v>
      </c>
      <c r="AB32" s="31">
        <f>229+254</f>
        <v>483</v>
      </c>
      <c r="AC32">
        <f t="shared" si="2"/>
        <v>241.5</v>
      </c>
      <c r="AF32">
        <v>5.9</v>
      </c>
      <c r="AG32" s="36">
        <v>2680</v>
      </c>
      <c r="AH32">
        <v>241.5</v>
      </c>
      <c r="AJ32" s="22"/>
    </row>
    <row r="33" spans="1:36" x14ac:dyDescent="0.2">
      <c r="A33" s="28"/>
      <c r="B33" s="27" t="s">
        <v>320</v>
      </c>
      <c r="C33" s="22" t="s">
        <v>337</v>
      </c>
      <c r="D33" s="22"/>
      <c r="E33">
        <v>91.9</v>
      </c>
      <c r="F33" s="23">
        <f>(0.04+0.07)/2</f>
        <v>5.5000000000000007E-2</v>
      </c>
      <c r="G33" s="23"/>
      <c r="H33" s="23"/>
      <c r="I33">
        <v>0</v>
      </c>
      <c r="J33" s="22">
        <v>0.1</v>
      </c>
      <c r="K33" s="22">
        <v>0.1</v>
      </c>
      <c r="L33" s="22"/>
      <c r="M33" s="22"/>
      <c r="N33" s="23">
        <v>0.55000000000000004</v>
      </c>
      <c r="O33" s="23">
        <v>0.05</v>
      </c>
      <c r="P33" s="22"/>
      <c r="Q33" s="22"/>
      <c r="R33" s="22"/>
      <c r="S33" s="23">
        <v>7</v>
      </c>
      <c r="T33" s="22"/>
      <c r="U33" s="22">
        <v>0.12000000000000001</v>
      </c>
      <c r="V33" s="23"/>
      <c r="W33" s="22">
        <v>0.05</v>
      </c>
      <c r="X33" s="22"/>
      <c r="Y33" s="1">
        <f t="shared" si="0"/>
        <v>0.2184951</v>
      </c>
      <c r="Z33" s="31" t="str">
        <f t="shared" si="1"/>
        <v>=</v>
      </c>
      <c r="AB33" s="31">
        <f>244+263</f>
        <v>507</v>
      </c>
      <c r="AC33">
        <f t="shared" si="2"/>
        <v>253.5</v>
      </c>
      <c r="AF33">
        <v>5.9</v>
      </c>
      <c r="AG33" s="36">
        <v>2680</v>
      </c>
      <c r="AH33">
        <v>253.5</v>
      </c>
      <c r="AJ33" s="22"/>
    </row>
    <row r="34" spans="1:36" x14ac:dyDescent="0.2">
      <c r="A34" s="29" t="s">
        <v>1290</v>
      </c>
      <c r="B34" s="27" t="s">
        <v>1327</v>
      </c>
      <c r="C34" s="22" t="s">
        <v>311</v>
      </c>
      <c r="D34" s="22"/>
      <c r="E34">
        <v>88.199999999999989</v>
      </c>
      <c r="F34" s="23"/>
      <c r="G34" s="23"/>
      <c r="H34" s="23"/>
      <c r="I34">
        <v>0</v>
      </c>
      <c r="J34" s="22">
        <v>0.3</v>
      </c>
      <c r="K34" s="22">
        <v>0.65</v>
      </c>
      <c r="L34" s="22"/>
      <c r="M34" s="22"/>
      <c r="N34" s="23">
        <v>0.5</v>
      </c>
      <c r="O34" s="23">
        <v>0.17499999999999999</v>
      </c>
      <c r="P34" s="22">
        <v>0.25</v>
      </c>
      <c r="Q34" s="22"/>
      <c r="R34" s="22"/>
      <c r="S34" s="23">
        <v>9.5</v>
      </c>
      <c r="T34" s="22">
        <f>(0+0.15)/2</f>
        <v>7.4999999999999997E-2</v>
      </c>
      <c r="U34" s="22"/>
      <c r="V34" s="23"/>
      <c r="W34" s="22">
        <v>0.25</v>
      </c>
      <c r="X34" s="22"/>
      <c r="Y34" s="1">
        <f t="shared" si="0"/>
        <v>0.28403499999999998</v>
      </c>
      <c r="Z34" s="31" t="str">
        <f t="shared" si="1"/>
        <v>=</v>
      </c>
      <c r="AB34" s="31">
        <f>157+173</f>
        <v>330</v>
      </c>
      <c r="AC34">
        <f t="shared" si="2"/>
        <v>165</v>
      </c>
      <c r="AF34">
        <v>5.9</v>
      </c>
      <c r="AG34" s="36">
        <v>2685</v>
      </c>
      <c r="AH34">
        <v>165</v>
      </c>
      <c r="AJ34" s="22"/>
    </row>
    <row r="35" spans="1:36" x14ac:dyDescent="0.2">
      <c r="A35" s="29" t="s">
        <v>1315</v>
      </c>
      <c r="B35" s="27" t="s">
        <v>1328</v>
      </c>
      <c r="C35" s="22" t="s">
        <v>337</v>
      </c>
      <c r="D35" s="22"/>
      <c r="E35">
        <v>92.85</v>
      </c>
      <c r="F35" s="23"/>
      <c r="G35" s="23"/>
      <c r="H35" s="23"/>
      <c r="I35">
        <v>0</v>
      </c>
      <c r="J35" s="22">
        <v>1.25</v>
      </c>
      <c r="K35" s="22">
        <v>0.1</v>
      </c>
      <c r="L35" s="22"/>
      <c r="M35" s="22"/>
      <c r="N35" s="23">
        <v>0.5</v>
      </c>
      <c r="O35" s="23">
        <v>0.05</v>
      </c>
      <c r="P35" s="22"/>
      <c r="Q35" s="22"/>
      <c r="R35" s="22"/>
      <c r="S35" s="23">
        <v>5</v>
      </c>
      <c r="T35" s="22"/>
      <c r="U35" s="22">
        <v>0.1</v>
      </c>
      <c r="V35" s="23"/>
      <c r="W35" s="22">
        <v>0.05</v>
      </c>
      <c r="X35" s="22"/>
      <c r="Y35" s="1">
        <f t="shared" si="0"/>
        <v>0.15916000000000002</v>
      </c>
      <c r="Z35" s="31" t="str">
        <f t="shared" si="1"/>
        <v>=</v>
      </c>
      <c r="AB35" s="31">
        <f>225+258</f>
        <v>483</v>
      </c>
      <c r="AC35">
        <f t="shared" si="2"/>
        <v>241.5</v>
      </c>
      <c r="AF35">
        <v>5.9</v>
      </c>
      <c r="AG35" s="36">
        <v>2715</v>
      </c>
      <c r="AH35">
        <v>241.5</v>
      </c>
      <c r="AJ35" s="22"/>
    </row>
    <row r="36" spans="1:36" x14ac:dyDescent="0.2">
      <c r="A36" s="29" t="s">
        <v>1315</v>
      </c>
      <c r="B36" s="27" t="s">
        <v>1328</v>
      </c>
      <c r="C36" s="22" t="s">
        <v>117</v>
      </c>
      <c r="D36" s="22"/>
      <c r="E36">
        <v>92.85</v>
      </c>
      <c r="F36" s="23"/>
      <c r="G36" s="23"/>
      <c r="H36" s="23"/>
      <c r="I36">
        <v>0</v>
      </c>
      <c r="J36" s="22">
        <v>1.25</v>
      </c>
      <c r="K36" s="22">
        <v>0.1</v>
      </c>
      <c r="L36" s="22"/>
      <c r="M36" s="22"/>
      <c r="N36" s="23">
        <v>0.5</v>
      </c>
      <c r="O36" s="23">
        <v>0.05</v>
      </c>
      <c r="P36" s="22"/>
      <c r="Q36" s="22"/>
      <c r="R36" s="22"/>
      <c r="S36" s="23">
        <v>5</v>
      </c>
      <c r="T36" s="22"/>
      <c r="U36" s="22">
        <v>0.1</v>
      </c>
      <c r="V36" s="23"/>
      <c r="W36" s="22">
        <v>0.05</v>
      </c>
      <c r="X36" s="22"/>
      <c r="Y36" s="1">
        <f t="shared" si="0"/>
        <v>0.15916000000000002</v>
      </c>
      <c r="Z36" s="31" t="str">
        <f t="shared" si="1"/>
        <v>=</v>
      </c>
      <c r="AB36" s="31">
        <f>190+210</f>
        <v>400</v>
      </c>
      <c r="AC36">
        <f t="shared" si="2"/>
        <v>200</v>
      </c>
      <c r="AF36">
        <v>5.9</v>
      </c>
      <c r="AG36" s="36">
        <v>2715</v>
      </c>
      <c r="AH36">
        <v>200</v>
      </c>
      <c r="AJ36" s="22"/>
    </row>
    <row r="37" spans="1:36" x14ac:dyDescent="0.2">
      <c r="A37" s="28"/>
      <c r="B37" s="27" t="s">
        <v>360</v>
      </c>
      <c r="C37" s="22" t="s">
        <v>294</v>
      </c>
      <c r="D37" s="22"/>
      <c r="E37">
        <v>92.85</v>
      </c>
      <c r="F37" s="23"/>
      <c r="G37" s="23"/>
      <c r="H37" s="23"/>
      <c r="I37">
        <v>0</v>
      </c>
      <c r="J37" s="22">
        <v>1.25</v>
      </c>
      <c r="K37" s="22">
        <v>0.1</v>
      </c>
      <c r="L37" s="22"/>
      <c r="M37" s="22"/>
      <c r="N37" s="23">
        <v>0.5</v>
      </c>
      <c r="O37" s="23">
        <v>0.05</v>
      </c>
      <c r="P37" s="22"/>
      <c r="Q37" s="22"/>
      <c r="R37" s="22"/>
      <c r="S37" s="23">
        <v>5</v>
      </c>
      <c r="T37" s="22"/>
      <c r="U37" s="22">
        <v>0.1</v>
      </c>
      <c r="V37" s="23"/>
      <c r="W37" s="22">
        <v>0.05</v>
      </c>
      <c r="X37" s="22"/>
      <c r="Y37" s="1">
        <f t="shared" si="0"/>
        <v>0.15916000000000002</v>
      </c>
      <c r="Z37" s="31" t="str">
        <f t="shared" si="1"/>
        <v>=</v>
      </c>
      <c r="AB37" s="31">
        <f>219+242</f>
        <v>461</v>
      </c>
      <c r="AC37">
        <f t="shared" si="2"/>
        <v>230.5</v>
      </c>
      <c r="AF37">
        <v>5.9</v>
      </c>
      <c r="AG37" s="36">
        <v>2715</v>
      </c>
      <c r="AH37">
        <v>230.5</v>
      </c>
      <c r="AJ37" s="22"/>
    </row>
    <row r="38" spans="1:36" x14ac:dyDescent="0.2">
      <c r="A38" s="29" t="s">
        <v>1329</v>
      </c>
      <c r="B38" s="27" t="s">
        <v>1331</v>
      </c>
      <c r="C38" s="22" t="s">
        <v>311</v>
      </c>
      <c r="D38" s="22"/>
      <c r="E38">
        <v>84.8</v>
      </c>
      <c r="F38" s="23"/>
      <c r="G38" s="23"/>
      <c r="H38" s="23"/>
      <c r="I38">
        <v>7.4999999999999997E-2</v>
      </c>
      <c r="J38" s="22">
        <v>3</v>
      </c>
      <c r="K38" s="22">
        <v>0.65</v>
      </c>
      <c r="L38" s="22"/>
      <c r="M38" s="22"/>
      <c r="N38" s="23">
        <v>0.30000000000000004</v>
      </c>
      <c r="O38" s="23">
        <v>0.27500000000000002</v>
      </c>
      <c r="P38" s="22">
        <v>0.27500000000000002</v>
      </c>
      <c r="Q38" s="22">
        <f>(0+0.35)/2</f>
        <v>0.17499999999999999</v>
      </c>
      <c r="R38" s="22"/>
      <c r="S38" s="23">
        <v>9.5</v>
      </c>
      <c r="T38" s="22">
        <f>(0+0.25)/2</f>
        <v>0.125</v>
      </c>
      <c r="U38" s="22">
        <v>0.125</v>
      </c>
      <c r="V38" s="23"/>
      <c r="W38" s="22">
        <v>0.6</v>
      </c>
      <c r="X38" s="22"/>
      <c r="Y38" s="1">
        <f t="shared" si="0"/>
        <v>0.27762074999999997</v>
      </c>
      <c r="Z38" s="31" t="str">
        <f t="shared" si="1"/>
        <v>=</v>
      </c>
      <c r="AB38" s="31">
        <f>133+147</f>
        <v>280</v>
      </c>
      <c r="AC38">
        <f t="shared" si="2"/>
        <v>140</v>
      </c>
      <c r="AF38">
        <v>5.9</v>
      </c>
      <c r="AG38" s="36">
        <v>2760</v>
      </c>
      <c r="AH38">
        <v>140</v>
      </c>
      <c r="AJ38" s="22"/>
    </row>
    <row r="39" spans="1:36" x14ac:dyDescent="0.2">
      <c r="A39" s="29" t="s">
        <v>1330</v>
      </c>
      <c r="B39" s="27" t="s">
        <v>1331</v>
      </c>
      <c r="C39" s="22" t="s">
        <v>311</v>
      </c>
      <c r="D39" s="22"/>
      <c r="E39">
        <v>85.1</v>
      </c>
      <c r="F39" s="23"/>
      <c r="G39" s="23"/>
      <c r="H39" s="23"/>
      <c r="I39">
        <v>0.05</v>
      </c>
      <c r="J39" s="22">
        <v>0.95</v>
      </c>
      <c r="K39" s="22">
        <v>0.65</v>
      </c>
      <c r="L39" s="22"/>
      <c r="M39" s="22"/>
      <c r="N39" s="23">
        <v>0.17499999999999999</v>
      </c>
      <c r="O39" s="23">
        <v>0.27500000000000002</v>
      </c>
      <c r="P39" s="22">
        <v>0.15</v>
      </c>
      <c r="Q39" s="22">
        <f>(0+0.2)/2</f>
        <v>0.1</v>
      </c>
      <c r="R39" s="22"/>
      <c r="S39" s="23">
        <v>12</v>
      </c>
      <c r="T39" s="22">
        <f>(0+0.1)/2</f>
        <v>0.05</v>
      </c>
      <c r="U39" s="22">
        <v>0.1</v>
      </c>
      <c r="V39" s="23"/>
      <c r="W39" s="22">
        <v>0.27500000000000002</v>
      </c>
      <c r="X39" s="22"/>
      <c r="Y39" s="1">
        <f t="shared" si="0"/>
        <v>0.34130999999999995</v>
      </c>
      <c r="Z39" s="31" t="str">
        <f t="shared" si="1"/>
        <v>=</v>
      </c>
      <c r="AB39" s="31">
        <f>133+147</f>
        <v>280</v>
      </c>
      <c r="AC39">
        <f t="shared" si="2"/>
        <v>140</v>
      </c>
      <c r="AF39">
        <v>5.9</v>
      </c>
      <c r="AG39" s="36">
        <v>2700</v>
      </c>
      <c r="AH39">
        <v>140</v>
      </c>
      <c r="AJ39" s="22"/>
    </row>
    <row r="40" spans="1:36" x14ac:dyDescent="0.2">
      <c r="A40" s="29" t="s">
        <v>1292</v>
      </c>
      <c r="B40" s="27">
        <v>413</v>
      </c>
      <c r="C40" s="22" t="s">
        <v>311</v>
      </c>
      <c r="D40" s="22"/>
      <c r="E40">
        <v>85.6</v>
      </c>
      <c r="F40" s="23"/>
      <c r="G40" s="23"/>
      <c r="H40" s="23"/>
      <c r="I40">
        <v>0</v>
      </c>
      <c r="J40" s="22">
        <v>0.5</v>
      </c>
      <c r="K40" s="22">
        <v>1</v>
      </c>
      <c r="L40" s="22"/>
      <c r="M40" s="22"/>
      <c r="N40" s="23">
        <v>0.05</v>
      </c>
      <c r="O40" s="23">
        <v>0.17499999999999999</v>
      </c>
      <c r="P40" s="22">
        <v>0.25</v>
      </c>
      <c r="Q40" s="22"/>
      <c r="R40" s="22"/>
      <c r="S40" s="23">
        <v>12</v>
      </c>
      <c r="T40" s="22">
        <f>(0+0.15)/2</f>
        <v>7.4999999999999997E-2</v>
      </c>
      <c r="U40" s="22"/>
      <c r="V40" s="23"/>
      <c r="W40" s="22">
        <v>0.25</v>
      </c>
      <c r="X40" s="22"/>
      <c r="Y40" s="1">
        <f t="shared" si="0"/>
        <v>0.33504099999999998</v>
      </c>
      <c r="Z40" s="31" t="str">
        <f t="shared" si="1"/>
        <v>=</v>
      </c>
      <c r="AB40" s="31">
        <f>138+152</f>
        <v>290</v>
      </c>
      <c r="AC40">
        <f t="shared" si="2"/>
        <v>145</v>
      </c>
      <c r="AF40">
        <v>5.9</v>
      </c>
      <c r="AG40" s="36">
        <v>2655</v>
      </c>
      <c r="AH40">
        <v>145</v>
      </c>
      <c r="AJ40" s="22"/>
    </row>
    <row r="41" spans="1:36" x14ac:dyDescent="0.2">
      <c r="A41" s="28"/>
      <c r="B41" s="27" t="s">
        <v>400</v>
      </c>
      <c r="C41" s="22" t="s">
        <v>310</v>
      </c>
      <c r="D41" s="22"/>
      <c r="E41">
        <v>93.1</v>
      </c>
      <c r="F41" s="23"/>
      <c r="G41" s="23"/>
      <c r="H41" s="23"/>
      <c r="I41">
        <v>0.125</v>
      </c>
      <c r="J41" s="22">
        <v>0.3</v>
      </c>
      <c r="K41" s="22">
        <v>0.4</v>
      </c>
      <c r="L41" s="22"/>
      <c r="M41" s="22"/>
      <c r="N41" s="23">
        <v>2.5000000000000001E-2</v>
      </c>
      <c r="O41" s="23">
        <v>0.25</v>
      </c>
      <c r="P41" s="22"/>
      <c r="Q41" s="22"/>
      <c r="R41" s="22"/>
      <c r="S41" s="23">
        <v>5.25</v>
      </c>
      <c r="T41" s="22"/>
      <c r="U41" s="22">
        <v>0.125</v>
      </c>
      <c r="V41" s="23"/>
      <c r="W41" s="22">
        <v>0.25</v>
      </c>
      <c r="X41" s="22"/>
      <c r="Y41" s="1">
        <f t="shared" si="0"/>
        <v>0.14962424999999999</v>
      </c>
      <c r="Z41" s="31" t="str">
        <f t="shared" si="1"/>
        <v>=</v>
      </c>
      <c r="AB41" s="31">
        <f>52.3+57.8</f>
        <v>110.1</v>
      </c>
      <c r="AC41">
        <f t="shared" si="2"/>
        <v>55.05</v>
      </c>
      <c r="AF41">
        <v>5.9</v>
      </c>
      <c r="AG41" s="36">
        <v>2685</v>
      </c>
      <c r="AH41">
        <v>55.05</v>
      </c>
      <c r="AJ41" s="22"/>
    </row>
    <row r="42" spans="1:36" x14ac:dyDescent="0.2">
      <c r="A42" s="29" t="s">
        <v>413</v>
      </c>
      <c r="B42" s="27"/>
      <c r="C42" s="22" t="s">
        <v>311</v>
      </c>
      <c r="D42" s="22"/>
      <c r="E42">
        <v>86.9</v>
      </c>
      <c r="F42" s="23"/>
      <c r="G42" s="23"/>
      <c r="H42" s="23"/>
      <c r="I42">
        <v>0</v>
      </c>
      <c r="J42" s="22">
        <v>0.05</v>
      </c>
      <c r="K42" s="22">
        <v>0.5</v>
      </c>
      <c r="L42" s="22"/>
      <c r="M42" s="22"/>
      <c r="N42" s="23"/>
      <c r="O42" s="23">
        <v>0.27500000000000002</v>
      </c>
      <c r="P42" s="22"/>
      <c r="Q42" s="22"/>
      <c r="R42" s="22"/>
      <c r="S42" s="23">
        <v>12</v>
      </c>
      <c r="T42" s="22"/>
      <c r="U42" s="22">
        <v>7.4999999999999997E-2</v>
      </c>
      <c r="V42" s="23"/>
      <c r="W42" s="22">
        <v>7.4999999999999997E-2</v>
      </c>
      <c r="X42" s="22"/>
      <c r="Y42" s="1">
        <f t="shared" si="0"/>
        <v>0.33299999999999996</v>
      </c>
      <c r="Z42" s="31" t="str">
        <f t="shared" si="1"/>
        <v>=</v>
      </c>
      <c r="AB42" s="31">
        <f>124+137</f>
        <v>261</v>
      </c>
      <c r="AC42">
        <f t="shared" si="2"/>
        <v>130.5</v>
      </c>
      <c r="AF42">
        <v>5.9</v>
      </c>
      <c r="AG42" s="36">
        <v>2680</v>
      </c>
      <c r="AH42">
        <v>130.5</v>
      </c>
      <c r="AJ42" s="22"/>
    </row>
    <row r="43" spans="1:36" x14ac:dyDescent="0.2">
      <c r="A43" s="29" t="s">
        <v>1332</v>
      </c>
      <c r="B43" s="27" t="s">
        <v>1333</v>
      </c>
      <c r="C43" s="22" t="s">
        <v>310</v>
      </c>
      <c r="D43" s="22"/>
      <c r="E43">
        <v>95.05</v>
      </c>
      <c r="F43" s="23"/>
      <c r="G43" s="23"/>
      <c r="H43" s="23"/>
      <c r="I43">
        <v>0</v>
      </c>
      <c r="J43" s="22"/>
      <c r="K43" s="22">
        <v>0.25</v>
      </c>
      <c r="L43" s="22"/>
      <c r="M43" s="22"/>
      <c r="N43" s="23">
        <v>4</v>
      </c>
      <c r="O43" s="23">
        <v>0.17499999999999999</v>
      </c>
      <c r="P43" s="22"/>
      <c r="Q43" s="22"/>
      <c r="R43" s="22"/>
      <c r="S43" s="23">
        <v>0.17499999999999999</v>
      </c>
      <c r="T43" s="22"/>
      <c r="U43" s="22">
        <v>0.125</v>
      </c>
      <c r="V43" s="23"/>
      <c r="W43" s="22">
        <v>7.4999999999999997E-2</v>
      </c>
      <c r="X43" s="22"/>
      <c r="Y43" s="1">
        <f t="shared" si="0"/>
        <v>0.16813624999999999</v>
      </c>
      <c r="Z43" s="31" t="str">
        <f t="shared" si="1"/>
        <v>=</v>
      </c>
      <c r="AB43" s="31">
        <f>78.9+87.2</f>
        <v>166.10000000000002</v>
      </c>
      <c r="AC43">
        <f t="shared" si="2"/>
        <v>83.050000000000011</v>
      </c>
      <c r="AF43">
        <v>5.9</v>
      </c>
      <c r="AG43" s="36">
        <v>2655</v>
      </c>
      <c r="AH43">
        <v>83.050000000000011</v>
      </c>
      <c r="AJ43" s="22"/>
    </row>
    <row r="44" spans="1:36" x14ac:dyDescent="0.2">
      <c r="A44" s="28"/>
      <c r="B44" s="27" t="s">
        <v>429</v>
      </c>
      <c r="C44" s="22" t="s">
        <v>311</v>
      </c>
      <c r="D44" s="22"/>
      <c r="E44">
        <v>90.25</v>
      </c>
      <c r="F44" s="23"/>
      <c r="G44" s="23"/>
      <c r="H44" s="23"/>
      <c r="I44">
        <v>0</v>
      </c>
      <c r="J44" s="22">
        <v>0.17499999999999999</v>
      </c>
      <c r="K44" s="22">
        <v>0.9</v>
      </c>
      <c r="L44" s="22"/>
      <c r="M44" s="22"/>
      <c r="N44" s="23">
        <v>8</v>
      </c>
      <c r="O44" s="23">
        <v>0.17499999999999999</v>
      </c>
      <c r="P44" s="22">
        <v>7.4999999999999997E-2</v>
      </c>
      <c r="Q44" s="22"/>
      <c r="R44" s="22"/>
      <c r="S44" s="23">
        <v>0.17499999999999999</v>
      </c>
      <c r="T44" s="22">
        <f>(0+0.15)/2</f>
        <v>7.4999999999999997E-2</v>
      </c>
      <c r="U44" s="22"/>
      <c r="V44" s="23"/>
      <c r="W44" s="22">
        <v>7.4999999999999997E-2</v>
      </c>
      <c r="X44" s="22"/>
      <c r="Y44" s="1">
        <f t="shared" si="0"/>
        <v>0.33141624999999997</v>
      </c>
      <c r="Z44" s="31" t="str">
        <f t="shared" si="1"/>
        <v>=</v>
      </c>
      <c r="AB44" s="31">
        <f>177+195</f>
        <v>372</v>
      </c>
      <c r="AC44">
        <f t="shared" si="2"/>
        <v>186</v>
      </c>
      <c r="AF44">
        <v>5.9</v>
      </c>
      <c r="AG44" s="36">
        <v>2515</v>
      </c>
      <c r="AH44">
        <v>186</v>
      </c>
      <c r="AJ44" s="22"/>
    </row>
    <row r="45" spans="1:36" x14ac:dyDescent="0.2">
      <c r="A45" s="28"/>
      <c r="B45" s="27" t="s">
        <v>438</v>
      </c>
      <c r="C45" s="22" t="s">
        <v>439</v>
      </c>
      <c r="D45" s="22"/>
      <c r="E45">
        <v>89.2</v>
      </c>
      <c r="F45" s="23"/>
      <c r="G45" s="23"/>
      <c r="H45" s="23"/>
      <c r="I45">
        <v>0</v>
      </c>
      <c r="J45" s="22">
        <v>0.125</v>
      </c>
      <c r="K45" s="22">
        <v>0.15</v>
      </c>
      <c r="L45" s="22"/>
      <c r="M45" s="22"/>
      <c r="N45" s="23">
        <v>10.050000000000001</v>
      </c>
      <c r="O45" s="23">
        <v>7.4999999999999997E-2</v>
      </c>
      <c r="P45" s="22"/>
      <c r="Q45" s="22"/>
      <c r="R45" s="22"/>
      <c r="S45" s="23">
        <v>0.125</v>
      </c>
      <c r="T45" s="22"/>
      <c r="U45" s="22">
        <v>0.125</v>
      </c>
      <c r="V45" s="23"/>
      <c r="W45" s="22">
        <v>7.4999999999999997E-2</v>
      </c>
      <c r="X45" s="22"/>
      <c r="Y45" s="1">
        <f t="shared" si="0"/>
        <v>0.41370975000000004</v>
      </c>
      <c r="Z45" s="31" t="str">
        <f t="shared" si="1"/>
        <v>=</v>
      </c>
      <c r="AB45" s="31">
        <f>176+193</f>
        <v>369</v>
      </c>
      <c r="AC45">
        <f t="shared" si="2"/>
        <v>184.5</v>
      </c>
      <c r="AF45">
        <v>5.9</v>
      </c>
      <c r="AG45" s="36">
        <v>2575</v>
      </c>
      <c r="AH45">
        <v>184.5</v>
      </c>
      <c r="AJ45" s="22"/>
    </row>
    <row r="46" spans="1:36" x14ac:dyDescent="0.2">
      <c r="B46" s="1" t="s">
        <v>451</v>
      </c>
      <c r="C46" s="22" t="s">
        <v>452</v>
      </c>
      <c r="D46" s="22"/>
      <c r="E46">
        <v>90</v>
      </c>
      <c r="F46" s="23"/>
      <c r="G46" s="23"/>
      <c r="H46" s="23"/>
      <c r="I46">
        <v>0.17499999999999999</v>
      </c>
      <c r="J46" s="22">
        <v>0.7</v>
      </c>
      <c r="K46" s="22">
        <v>0.55000000000000004</v>
      </c>
      <c r="L46" s="22"/>
      <c r="M46" s="22"/>
      <c r="N46" s="23">
        <v>0.35</v>
      </c>
      <c r="O46" s="23">
        <v>0.3</v>
      </c>
      <c r="P46" s="22">
        <v>7.4999999999999997E-2</v>
      </c>
      <c r="Q46" s="22"/>
      <c r="R46" s="22"/>
      <c r="S46" s="23">
        <v>0.125</v>
      </c>
      <c r="T46" s="22"/>
      <c r="U46" s="22">
        <v>0.125</v>
      </c>
      <c r="V46" s="23"/>
      <c r="W46" s="22">
        <v>7.5</v>
      </c>
      <c r="X46" s="22"/>
      <c r="Y46" s="1">
        <f t="shared" si="0"/>
        <v>2.1838499999999997E-2</v>
      </c>
      <c r="Z46" s="31" t="str">
        <f t="shared" si="1"/>
        <v>=</v>
      </c>
      <c r="AB46" s="31">
        <f>176+194</f>
        <v>370</v>
      </c>
      <c r="AC46">
        <f t="shared" si="2"/>
        <v>185</v>
      </c>
      <c r="AF46">
        <v>5.9</v>
      </c>
      <c r="AG46" s="36">
        <v>2880</v>
      </c>
      <c r="AH46">
        <v>185</v>
      </c>
      <c r="AJ46" s="22"/>
    </row>
    <row r="47" spans="1:36" x14ac:dyDescent="0.2">
      <c r="B47" s="1" t="s">
        <v>451</v>
      </c>
      <c r="C47" s="22" t="s">
        <v>310</v>
      </c>
      <c r="D47" s="22"/>
      <c r="E47">
        <v>90</v>
      </c>
      <c r="F47" s="23"/>
      <c r="G47" s="23"/>
      <c r="H47" s="23"/>
      <c r="I47">
        <v>0.17499999999999999</v>
      </c>
      <c r="J47" s="22">
        <v>0.7</v>
      </c>
      <c r="K47" s="22">
        <v>0.55000000000000004</v>
      </c>
      <c r="L47" s="22"/>
      <c r="M47" s="22"/>
      <c r="N47" s="23">
        <v>0.35</v>
      </c>
      <c r="O47" s="23">
        <v>0.3</v>
      </c>
      <c r="P47" s="22">
        <v>7.4999999999999997E-2</v>
      </c>
      <c r="Q47" s="22"/>
      <c r="R47" s="22"/>
      <c r="S47" s="23">
        <v>0.125</v>
      </c>
      <c r="T47" s="22"/>
      <c r="U47" s="22">
        <v>0.125</v>
      </c>
      <c r="V47" s="23"/>
      <c r="W47" s="22">
        <v>7.5</v>
      </c>
      <c r="X47" s="22"/>
      <c r="Y47" s="1">
        <f t="shared" si="0"/>
        <v>2.1838499999999997E-2</v>
      </c>
      <c r="Z47" s="31" t="str">
        <f t="shared" si="1"/>
        <v>=</v>
      </c>
      <c r="AB47" s="31">
        <f>163+181</f>
        <v>344</v>
      </c>
      <c r="AC47">
        <f t="shared" si="2"/>
        <v>172</v>
      </c>
      <c r="AF47">
        <v>5.9</v>
      </c>
      <c r="AG47" s="36">
        <v>2880</v>
      </c>
      <c r="AH47">
        <v>172</v>
      </c>
      <c r="AJ47" s="22"/>
    </row>
    <row r="48" spans="1:36" x14ac:dyDescent="0.2">
      <c r="B48" s="1" t="s">
        <v>451</v>
      </c>
      <c r="C48" s="22" t="s">
        <v>465</v>
      </c>
      <c r="D48" s="22"/>
      <c r="E48">
        <v>90</v>
      </c>
      <c r="F48" s="23"/>
      <c r="G48" s="23"/>
      <c r="H48" s="23"/>
      <c r="I48">
        <v>0.17499999999999999</v>
      </c>
      <c r="J48" s="22">
        <v>0.7</v>
      </c>
      <c r="K48" s="22">
        <v>0.55000000000000004</v>
      </c>
      <c r="L48" s="22"/>
      <c r="M48" s="22"/>
      <c r="N48" s="23">
        <v>0.35</v>
      </c>
      <c r="O48" s="23">
        <v>0.3</v>
      </c>
      <c r="P48" s="22">
        <v>7.4999999999999997E-2</v>
      </c>
      <c r="Q48" s="22"/>
      <c r="R48" s="22"/>
      <c r="S48" s="23">
        <v>0.125</v>
      </c>
      <c r="T48" s="22"/>
      <c r="U48" s="22">
        <v>0.125</v>
      </c>
      <c r="V48" s="23"/>
      <c r="W48" s="22">
        <v>7.5</v>
      </c>
      <c r="X48" s="22"/>
      <c r="Y48" s="1">
        <f t="shared" si="0"/>
        <v>2.1838499999999997E-2</v>
      </c>
      <c r="Z48" s="31" t="str">
        <f t="shared" si="1"/>
        <v>=</v>
      </c>
      <c r="AB48" s="31">
        <f>143+158</f>
        <v>301</v>
      </c>
      <c r="AC48">
        <f t="shared" si="2"/>
        <v>150.5</v>
      </c>
      <c r="AF48">
        <v>5.9</v>
      </c>
      <c r="AG48" s="36">
        <v>2880</v>
      </c>
      <c r="AH48">
        <v>150.5</v>
      </c>
      <c r="AJ48" s="22"/>
    </row>
    <row r="49" spans="1:36" x14ac:dyDescent="0.2">
      <c r="A49" s="16" t="s">
        <v>1334</v>
      </c>
      <c r="B49" s="1" t="s">
        <v>1337</v>
      </c>
      <c r="C49" s="22" t="s">
        <v>467</v>
      </c>
      <c r="D49" s="22"/>
      <c r="E49">
        <v>99.55</v>
      </c>
      <c r="F49" s="23"/>
      <c r="G49" s="23"/>
      <c r="H49" s="23"/>
      <c r="I49">
        <v>0</v>
      </c>
      <c r="J49" s="22">
        <v>2.5000000000000001E-2</v>
      </c>
      <c r="K49" s="22">
        <v>0.2</v>
      </c>
      <c r="L49" s="22"/>
      <c r="M49" s="22"/>
      <c r="N49" s="23"/>
      <c r="O49" s="23">
        <v>0.25</v>
      </c>
      <c r="P49" s="22"/>
      <c r="Q49" s="22"/>
      <c r="R49" s="22"/>
      <c r="S49" s="23">
        <v>0.125</v>
      </c>
      <c r="T49" s="22"/>
      <c r="U49" s="22">
        <v>1.4999999999999999E-2</v>
      </c>
      <c r="V49" s="23">
        <f>(0+0.05)/2</f>
        <v>2.5000000000000001E-2</v>
      </c>
      <c r="W49" s="22">
        <v>2.5000000000000001E-2</v>
      </c>
      <c r="X49" s="22"/>
      <c r="Y49" s="1">
        <f t="shared" si="0"/>
        <v>4.0099999999999997E-3</v>
      </c>
      <c r="Z49" s="31" t="str">
        <f t="shared" si="1"/>
        <v>=</v>
      </c>
      <c r="AB49" s="31">
        <f>157+173</f>
        <v>330</v>
      </c>
      <c r="AC49">
        <f t="shared" si="2"/>
        <v>165</v>
      </c>
      <c r="AF49">
        <v>5.9</v>
      </c>
      <c r="AG49" s="36">
        <v>2860</v>
      </c>
      <c r="AH49">
        <v>165</v>
      </c>
      <c r="AJ49" s="22"/>
    </row>
    <row r="50" spans="1:36" x14ac:dyDescent="0.2">
      <c r="A50" s="16" t="s">
        <v>1334</v>
      </c>
      <c r="B50" s="1" t="s">
        <v>1338</v>
      </c>
      <c r="C50" s="22" t="s">
        <v>481</v>
      </c>
      <c r="D50" s="22"/>
      <c r="E50">
        <v>99.55</v>
      </c>
      <c r="F50" s="23"/>
      <c r="G50" s="23"/>
      <c r="H50" s="23"/>
      <c r="I50">
        <v>0</v>
      </c>
      <c r="J50" s="22">
        <v>2.5000000000000001E-2</v>
      </c>
      <c r="K50" s="22">
        <v>0.2</v>
      </c>
      <c r="L50" s="22"/>
      <c r="M50" s="22"/>
      <c r="N50" s="23"/>
      <c r="O50" s="23">
        <v>0.25</v>
      </c>
      <c r="P50" s="22"/>
      <c r="Q50" s="22"/>
      <c r="R50" s="22"/>
      <c r="S50" s="23">
        <v>0.125</v>
      </c>
      <c r="T50" s="22"/>
      <c r="U50" s="22">
        <v>1.4999999999999999E-2</v>
      </c>
      <c r="V50" s="23">
        <f t="shared" ref="V50:V55" si="3">(0+0.05)/2</f>
        <v>2.5000000000000001E-2</v>
      </c>
      <c r="W50" s="22">
        <v>2.5000000000000001E-2</v>
      </c>
      <c r="X50" s="22"/>
      <c r="Y50" s="1">
        <f t="shared" si="0"/>
        <v>4.0099999999999997E-3</v>
      </c>
      <c r="Z50" s="31" t="str">
        <f t="shared" si="1"/>
        <v>=</v>
      </c>
      <c r="AB50" s="31">
        <f>33+37</f>
        <v>70</v>
      </c>
      <c r="AC50">
        <f t="shared" si="2"/>
        <v>35</v>
      </c>
      <c r="AF50">
        <v>5.9</v>
      </c>
      <c r="AG50" s="36">
        <v>2860</v>
      </c>
      <c r="AH50">
        <v>35</v>
      </c>
      <c r="AJ50" s="22"/>
    </row>
    <row r="51" spans="1:36" x14ac:dyDescent="0.2">
      <c r="A51" s="16" t="s">
        <v>1293</v>
      </c>
      <c r="B51" s="1" t="s">
        <v>1339</v>
      </c>
      <c r="C51" s="22" t="s">
        <v>487</v>
      </c>
      <c r="D51" s="22"/>
      <c r="E51">
        <v>99.75</v>
      </c>
      <c r="F51" s="23"/>
      <c r="G51" s="23"/>
      <c r="H51" s="23"/>
      <c r="I51">
        <v>0</v>
      </c>
      <c r="J51" s="22">
        <v>1.4999999999999999E-2</v>
      </c>
      <c r="K51" s="22">
        <v>7.4999999999999997E-2</v>
      </c>
      <c r="L51" s="22"/>
      <c r="M51" s="22"/>
      <c r="N51" s="23"/>
      <c r="O51" s="23">
        <v>0.01</v>
      </c>
      <c r="P51" s="22"/>
      <c r="Q51" s="22"/>
      <c r="R51" s="22"/>
      <c r="S51" s="23">
        <v>7.4999999999999997E-2</v>
      </c>
      <c r="T51" s="22"/>
      <c r="U51" s="22">
        <v>1.4999999999999999E-2</v>
      </c>
      <c r="V51" s="23">
        <f t="shared" si="3"/>
        <v>2.5000000000000001E-2</v>
      </c>
      <c r="W51" s="22">
        <v>1.4999999999999999E-2</v>
      </c>
      <c r="X51" s="22"/>
      <c r="Y51" s="1">
        <f t="shared" si="0"/>
        <v>2.6224999999999998E-3</v>
      </c>
      <c r="Z51" s="31" t="str">
        <f t="shared" si="1"/>
        <v>=</v>
      </c>
      <c r="AB51" s="31">
        <f>48+53</f>
        <v>101</v>
      </c>
      <c r="AC51">
        <f t="shared" si="2"/>
        <v>50.5</v>
      </c>
      <c r="AF51">
        <v>5.9</v>
      </c>
      <c r="AG51" s="36">
        <v>2700</v>
      </c>
      <c r="AH51">
        <v>50.5</v>
      </c>
      <c r="AJ51" s="22"/>
    </row>
    <row r="52" spans="1:36" x14ac:dyDescent="0.2">
      <c r="A52" s="16" t="s">
        <v>1293</v>
      </c>
      <c r="B52" s="1" t="s">
        <v>486</v>
      </c>
      <c r="C52" s="22" t="s">
        <v>481</v>
      </c>
      <c r="D52" s="22"/>
      <c r="E52">
        <v>99.75</v>
      </c>
      <c r="F52" s="23"/>
      <c r="G52" s="23"/>
      <c r="H52" s="23"/>
      <c r="I52">
        <v>0</v>
      </c>
      <c r="J52" s="22">
        <v>1.4999999999999999E-2</v>
      </c>
      <c r="K52" s="22">
        <v>7.4999999999999997E-2</v>
      </c>
      <c r="L52" s="22">
        <f>(0+0.03)/2</f>
        <v>1.4999999999999999E-2</v>
      </c>
      <c r="M52" s="22"/>
      <c r="N52" s="23"/>
      <c r="O52" s="23">
        <v>0.01</v>
      </c>
      <c r="P52" s="22"/>
      <c r="Q52" s="22"/>
      <c r="R52" s="22"/>
      <c r="S52" s="23">
        <v>7.4999999999999997E-2</v>
      </c>
      <c r="T52" s="22"/>
      <c r="U52" s="22">
        <v>1.4999999999999999E-2</v>
      </c>
      <c r="V52" s="23">
        <f t="shared" si="3"/>
        <v>2.5000000000000001E-2</v>
      </c>
      <c r="W52" s="22">
        <v>1.4999999999999999E-2</v>
      </c>
      <c r="X52" s="22"/>
      <c r="Y52" s="1">
        <f t="shared" si="0"/>
        <v>3.1215499999999998E-3</v>
      </c>
      <c r="Z52" s="31" t="str">
        <f t="shared" si="1"/>
        <v>=</v>
      </c>
      <c r="AB52" s="31">
        <f>48+53</f>
        <v>101</v>
      </c>
      <c r="AC52">
        <f t="shared" si="2"/>
        <v>50.5</v>
      </c>
      <c r="AF52">
        <v>5.9</v>
      </c>
      <c r="AG52" s="36">
        <v>2700</v>
      </c>
      <c r="AH52">
        <v>50.5</v>
      </c>
      <c r="AJ52" s="22"/>
    </row>
    <row r="53" spans="1:36" x14ac:dyDescent="0.2">
      <c r="A53" s="16" t="s">
        <v>1335</v>
      </c>
      <c r="B53" s="1" t="s">
        <v>1340</v>
      </c>
      <c r="C53" s="22" t="s">
        <v>502</v>
      </c>
      <c r="D53" s="22"/>
      <c r="E53">
        <v>99.8</v>
      </c>
      <c r="F53" s="23"/>
      <c r="G53" s="23"/>
      <c r="H53" s="23"/>
      <c r="I53">
        <v>0</v>
      </c>
      <c r="J53" s="22"/>
      <c r="K53" s="22" t="e">
        <v>#VALUE!</v>
      </c>
      <c r="L53" s="22"/>
      <c r="M53" s="22"/>
      <c r="N53" s="23"/>
      <c r="O53" s="23">
        <v>2.5000000000000001E-2</v>
      </c>
      <c r="P53" s="22"/>
      <c r="Q53" s="22"/>
      <c r="R53" s="22"/>
      <c r="S53" s="23"/>
      <c r="T53" s="22"/>
      <c r="U53" s="22">
        <v>2.5000000000000001E-2</v>
      </c>
      <c r="V53" s="23">
        <f t="shared" si="3"/>
        <v>2.5000000000000001E-2</v>
      </c>
      <c r="W53" s="22">
        <v>0.05</v>
      </c>
      <c r="X53" s="22"/>
      <c r="Y53" s="1">
        <f t="shared" si="0"/>
        <v>5.4125000000000006E-4</v>
      </c>
      <c r="Z53" s="31" t="str">
        <f t="shared" si="1"/>
        <v>=</v>
      </c>
      <c r="AB53" s="31">
        <f>24+26</f>
        <v>50</v>
      </c>
      <c r="AC53">
        <f t="shared" si="2"/>
        <v>25</v>
      </c>
      <c r="AF53">
        <v>5.9</v>
      </c>
      <c r="AG53" s="36">
        <v>2710</v>
      </c>
      <c r="AH53">
        <v>25</v>
      </c>
      <c r="AJ53" s="22"/>
    </row>
    <row r="54" spans="1:36" x14ac:dyDescent="0.2">
      <c r="A54" s="16" t="s">
        <v>1294</v>
      </c>
      <c r="B54" s="1" t="s">
        <v>1341</v>
      </c>
      <c r="C54" s="22" t="s">
        <v>512</v>
      </c>
      <c r="D54" s="22"/>
      <c r="E54">
        <v>97.4</v>
      </c>
      <c r="F54" s="23"/>
      <c r="G54" s="23"/>
      <c r="H54" s="23"/>
      <c r="I54">
        <v>0.05</v>
      </c>
      <c r="J54" s="22">
        <v>0.9</v>
      </c>
      <c r="K54" s="22">
        <v>0.2</v>
      </c>
      <c r="L54" s="22"/>
      <c r="M54" s="22"/>
      <c r="N54" s="23">
        <v>0.375</v>
      </c>
      <c r="O54" s="23">
        <v>0.15</v>
      </c>
      <c r="P54" s="22"/>
      <c r="Q54" s="22"/>
      <c r="R54" s="22"/>
      <c r="S54" s="23">
        <v>0.65</v>
      </c>
      <c r="T54" s="22"/>
      <c r="U54" s="22">
        <v>0.05</v>
      </c>
      <c r="V54" s="23">
        <f t="shared" si="3"/>
        <v>2.5000000000000001E-2</v>
      </c>
      <c r="W54" s="22">
        <v>0.125</v>
      </c>
      <c r="X54" s="22"/>
      <c r="Y54" s="1">
        <f t="shared" si="0"/>
        <v>3.5052750000000001E-2</v>
      </c>
      <c r="Z54" s="31" t="str">
        <f t="shared" si="1"/>
        <v>=</v>
      </c>
      <c r="AB54" s="31">
        <f>118+131</f>
        <v>249</v>
      </c>
      <c r="AC54">
        <f t="shared" si="2"/>
        <v>124.5</v>
      </c>
      <c r="AF54">
        <v>5.9</v>
      </c>
      <c r="AG54" s="36">
        <v>2720</v>
      </c>
      <c r="AH54">
        <v>124.5</v>
      </c>
      <c r="AJ54" s="22"/>
    </row>
    <row r="55" spans="1:36" x14ac:dyDescent="0.2">
      <c r="A55" s="16" t="s">
        <v>1294</v>
      </c>
      <c r="B55" s="1" t="s">
        <v>1341</v>
      </c>
      <c r="C55" s="22" t="s">
        <v>529</v>
      </c>
      <c r="D55" s="22"/>
      <c r="E55">
        <v>97.4</v>
      </c>
      <c r="F55" s="23"/>
      <c r="G55" s="23"/>
      <c r="H55" s="23"/>
      <c r="I55">
        <v>0.05</v>
      </c>
      <c r="J55" s="22">
        <v>0.9</v>
      </c>
      <c r="K55" s="22">
        <v>0.2</v>
      </c>
      <c r="L55" s="22"/>
      <c r="M55" s="22"/>
      <c r="N55" s="23">
        <v>0.375</v>
      </c>
      <c r="O55" s="23">
        <v>0.15</v>
      </c>
      <c r="P55" s="22"/>
      <c r="Q55" s="22"/>
      <c r="R55" s="22"/>
      <c r="S55" s="23">
        <v>0.65</v>
      </c>
      <c r="T55" s="22"/>
      <c r="U55" s="22">
        <v>0.05</v>
      </c>
      <c r="V55" s="23">
        <f t="shared" si="3"/>
        <v>2.5000000000000001E-2</v>
      </c>
      <c r="W55" s="22">
        <v>0.125</v>
      </c>
      <c r="X55" s="22"/>
      <c r="Y55" s="1">
        <f t="shared" si="0"/>
        <v>3.5052750000000001E-2</v>
      </c>
      <c r="Z55" s="31" t="str">
        <f t="shared" si="1"/>
        <v>=</v>
      </c>
      <c r="AB55" s="31">
        <f>228+252</f>
        <v>480</v>
      </c>
      <c r="AC55">
        <f t="shared" si="2"/>
        <v>240</v>
      </c>
      <c r="AF55">
        <v>5.9</v>
      </c>
      <c r="AG55" s="36">
        <v>2720</v>
      </c>
      <c r="AH55">
        <v>240</v>
      </c>
      <c r="AJ55" s="22"/>
    </row>
    <row r="56" spans="1:36" x14ac:dyDescent="0.2">
      <c r="A56" s="16" t="s">
        <v>1295</v>
      </c>
      <c r="B56" s="1" t="s">
        <v>1342</v>
      </c>
      <c r="C56" s="22" t="s">
        <v>512</v>
      </c>
      <c r="D56" s="22"/>
      <c r="E56">
        <v>97.25</v>
      </c>
      <c r="F56" s="23"/>
      <c r="G56" s="23"/>
      <c r="H56" s="23"/>
      <c r="I56">
        <v>7.4999999999999997E-2</v>
      </c>
      <c r="J56" s="22">
        <v>6.85</v>
      </c>
      <c r="K56" s="22">
        <v>0.25</v>
      </c>
      <c r="L56" s="22"/>
      <c r="M56" s="22"/>
      <c r="N56" s="23">
        <v>0.25</v>
      </c>
      <c r="O56" s="23">
        <v>0.25</v>
      </c>
      <c r="P56" s="22"/>
      <c r="Q56" s="22"/>
      <c r="R56" s="22"/>
      <c r="S56" s="23">
        <v>0.25</v>
      </c>
      <c r="T56" s="22"/>
      <c r="U56" s="22"/>
      <c r="V56" s="23"/>
      <c r="W56" s="22">
        <v>0.15</v>
      </c>
      <c r="X56" s="22"/>
      <c r="Y56" s="1">
        <f t="shared" si="0"/>
        <v>1.8892249999999999E-2</v>
      </c>
      <c r="Z56" s="31" t="str">
        <f t="shared" si="1"/>
        <v>=</v>
      </c>
      <c r="AB56" s="31">
        <f>124+137</f>
        <v>261</v>
      </c>
      <c r="AC56">
        <f t="shared" si="2"/>
        <v>130.5</v>
      </c>
      <c r="AF56">
        <v>5.9</v>
      </c>
      <c r="AG56" s="36">
        <v>2720</v>
      </c>
      <c r="AH56">
        <v>130.5</v>
      </c>
      <c r="AJ56" s="22"/>
    </row>
    <row r="57" spans="1:36" x14ac:dyDescent="0.2">
      <c r="A57" s="16" t="s">
        <v>1295</v>
      </c>
      <c r="B57" s="1" t="s">
        <v>1342</v>
      </c>
      <c r="C57" s="22" t="s">
        <v>544</v>
      </c>
      <c r="D57" s="22"/>
      <c r="E57">
        <v>97.25</v>
      </c>
      <c r="F57" s="23"/>
      <c r="G57" s="23"/>
      <c r="H57" s="23"/>
      <c r="I57">
        <v>7.4999999999999997E-2</v>
      </c>
      <c r="J57" s="22">
        <v>6.85</v>
      </c>
      <c r="K57" s="22">
        <v>0.25</v>
      </c>
      <c r="L57" s="22"/>
      <c r="M57" s="22"/>
      <c r="N57" s="23">
        <v>0.25</v>
      </c>
      <c r="O57" s="23">
        <v>0.25</v>
      </c>
      <c r="P57" s="22"/>
      <c r="Q57" s="22"/>
      <c r="R57" s="22"/>
      <c r="S57" s="23">
        <v>0.25</v>
      </c>
      <c r="T57" s="22"/>
      <c r="U57" s="22"/>
      <c r="V57" s="23"/>
      <c r="W57" s="22">
        <v>0.15</v>
      </c>
      <c r="X57" s="22"/>
      <c r="Y57" s="1">
        <f t="shared" si="0"/>
        <v>1.8892249999999999E-2</v>
      </c>
      <c r="Z57" s="31" t="str">
        <f t="shared" si="1"/>
        <v>=</v>
      </c>
      <c r="AB57" s="31">
        <f>124+137</f>
        <v>261</v>
      </c>
      <c r="AC57">
        <f t="shared" si="2"/>
        <v>130.5</v>
      </c>
      <c r="AF57">
        <v>5.9</v>
      </c>
      <c r="AG57" s="36">
        <v>2720</v>
      </c>
      <c r="AH57">
        <v>130.5</v>
      </c>
      <c r="AJ57" s="22"/>
    </row>
    <row r="58" spans="1:36" x14ac:dyDescent="0.2">
      <c r="A58" s="16" t="s">
        <v>1295</v>
      </c>
      <c r="B58" s="1" t="s">
        <v>1343</v>
      </c>
      <c r="C58" s="22" t="s">
        <v>529</v>
      </c>
      <c r="D58" s="22"/>
      <c r="E58">
        <v>97.25</v>
      </c>
      <c r="F58" s="23"/>
      <c r="G58" s="23"/>
      <c r="H58" s="23"/>
      <c r="I58">
        <v>7.4999999999999997E-2</v>
      </c>
      <c r="J58" s="22">
        <v>6.85</v>
      </c>
      <c r="K58" s="22">
        <v>0.25</v>
      </c>
      <c r="L58" s="22"/>
      <c r="M58" s="22"/>
      <c r="N58" s="23">
        <v>0.25</v>
      </c>
      <c r="O58" s="23">
        <v>0.25</v>
      </c>
      <c r="P58" s="22"/>
      <c r="Q58" s="22"/>
      <c r="R58" s="22"/>
      <c r="S58" s="23">
        <v>0.25</v>
      </c>
      <c r="T58" s="22"/>
      <c r="U58" s="22"/>
      <c r="V58" s="23"/>
      <c r="W58" s="22">
        <v>0.15</v>
      </c>
      <c r="X58" s="22"/>
      <c r="Y58" s="1">
        <f t="shared" si="0"/>
        <v>1.8892249999999999E-2</v>
      </c>
      <c r="Z58" s="31" t="str">
        <f t="shared" si="1"/>
        <v>=</v>
      </c>
      <c r="AB58" s="31">
        <f>190+210</f>
        <v>400</v>
      </c>
      <c r="AC58">
        <f t="shared" si="2"/>
        <v>200</v>
      </c>
      <c r="AF58">
        <v>5.9</v>
      </c>
      <c r="AG58" s="36">
        <v>2720</v>
      </c>
      <c r="AH58">
        <v>200</v>
      </c>
      <c r="AJ58" s="22"/>
    </row>
    <row r="59" spans="1:36" x14ac:dyDescent="0.2">
      <c r="A59" s="16" t="s">
        <v>1336</v>
      </c>
      <c r="B59" s="1" t="s">
        <v>1344</v>
      </c>
      <c r="C59" s="22" t="s">
        <v>512</v>
      </c>
      <c r="D59" s="22"/>
      <c r="E59">
        <v>92.7</v>
      </c>
      <c r="F59" s="23"/>
      <c r="G59" s="23"/>
      <c r="H59" s="23"/>
      <c r="I59">
        <v>0.05</v>
      </c>
      <c r="J59" s="22">
        <v>4.45</v>
      </c>
      <c r="K59" s="22">
        <v>0.35</v>
      </c>
      <c r="L59" s="22"/>
      <c r="M59" s="22"/>
      <c r="N59" s="23">
        <v>0.5</v>
      </c>
      <c r="O59" s="23">
        <v>0.8</v>
      </c>
      <c r="P59" s="22"/>
      <c r="Q59" s="22"/>
      <c r="R59" s="22"/>
      <c r="S59" s="23">
        <v>0.85</v>
      </c>
      <c r="T59" s="22"/>
      <c r="U59" s="22">
        <v>7.5</v>
      </c>
      <c r="V59" s="23"/>
      <c r="W59" s="22">
        <v>0.125</v>
      </c>
      <c r="X59" s="22"/>
      <c r="Y59" s="1">
        <f t="shared" si="0"/>
        <v>4.5163999999999996E-2</v>
      </c>
      <c r="Z59" s="31" t="str">
        <f t="shared" si="1"/>
        <v>=</v>
      </c>
      <c r="AB59" s="31">
        <f>220+320</f>
        <v>540</v>
      </c>
      <c r="AC59">
        <f t="shared" si="2"/>
        <v>270</v>
      </c>
      <c r="AF59">
        <v>5.9</v>
      </c>
      <c r="AG59" s="36">
        <v>2800</v>
      </c>
      <c r="AH59">
        <v>270</v>
      </c>
      <c r="AJ59" s="22"/>
    </row>
    <row r="60" spans="1:36" x14ac:dyDescent="0.2">
      <c r="A60" s="16" t="s">
        <v>1336</v>
      </c>
      <c r="B60" s="1" t="s">
        <v>1344</v>
      </c>
      <c r="C60" s="22" t="s">
        <v>294</v>
      </c>
      <c r="D60" s="22"/>
      <c r="E60">
        <v>92.7</v>
      </c>
      <c r="F60" s="23"/>
      <c r="G60" s="23"/>
      <c r="H60" s="23"/>
      <c r="I60">
        <v>0.05</v>
      </c>
      <c r="J60" s="22">
        <v>4.45</v>
      </c>
      <c r="K60" s="22">
        <v>0.35</v>
      </c>
      <c r="L60" s="22"/>
      <c r="M60" s="22"/>
      <c r="N60" s="23">
        <v>0.5</v>
      </c>
      <c r="O60" s="23">
        <v>0.8</v>
      </c>
      <c r="P60" s="22"/>
      <c r="Q60" s="22"/>
      <c r="R60" s="22"/>
      <c r="S60" s="23">
        <v>0.85</v>
      </c>
      <c r="T60" s="22"/>
      <c r="U60" s="22">
        <v>7.5</v>
      </c>
      <c r="V60" s="23"/>
      <c r="W60" s="22">
        <v>0.125</v>
      </c>
      <c r="X60" s="22"/>
      <c r="Y60" s="1">
        <f t="shared" si="0"/>
        <v>4.5163999999999996E-2</v>
      </c>
      <c r="Z60" s="31" t="str">
        <f t="shared" si="1"/>
        <v>=</v>
      </c>
      <c r="AB60" s="31">
        <f>324+440</f>
        <v>764</v>
      </c>
      <c r="AC60">
        <f t="shared" si="2"/>
        <v>382</v>
      </c>
      <c r="AF60">
        <v>5.9</v>
      </c>
      <c r="AG60" s="36">
        <v>2800</v>
      </c>
      <c r="AH60">
        <v>382</v>
      </c>
      <c r="AJ60" s="22"/>
    </row>
    <row r="61" spans="1:36" x14ac:dyDescent="0.2">
      <c r="A61" s="16" t="s">
        <v>1336</v>
      </c>
      <c r="B61" s="1" t="s">
        <v>1344</v>
      </c>
      <c r="C61" s="22" t="s">
        <v>529</v>
      </c>
      <c r="D61" s="22"/>
      <c r="E61">
        <v>92.7</v>
      </c>
      <c r="F61" s="23"/>
      <c r="G61" s="23"/>
      <c r="H61" s="23"/>
      <c r="I61">
        <v>0.05</v>
      </c>
      <c r="J61" s="22">
        <v>4.45</v>
      </c>
      <c r="K61" s="22">
        <v>0.35</v>
      </c>
      <c r="L61" s="22"/>
      <c r="M61" s="22"/>
      <c r="N61" s="23">
        <v>0.5</v>
      </c>
      <c r="O61" s="23">
        <v>0.8</v>
      </c>
      <c r="P61" s="22"/>
      <c r="Q61" s="22"/>
      <c r="R61" s="22"/>
      <c r="S61" s="23">
        <v>0.85</v>
      </c>
      <c r="T61" s="22"/>
      <c r="U61" s="22">
        <v>7.5</v>
      </c>
      <c r="V61" s="23"/>
      <c r="W61" s="22">
        <v>0.125</v>
      </c>
      <c r="X61" s="22"/>
      <c r="Y61" s="1">
        <f t="shared" si="0"/>
        <v>4.5163999999999996E-2</v>
      </c>
      <c r="Z61" s="31" t="str">
        <f t="shared" si="1"/>
        <v>=</v>
      </c>
      <c r="AB61" s="31">
        <f>359+421</f>
        <v>780</v>
      </c>
      <c r="AC61">
        <f t="shared" si="2"/>
        <v>390</v>
      </c>
      <c r="AF61">
        <v>5.9</v>
      </c>
      <c r="AG61" s="36">
        <v>2795</v>
      </c>
      <c r="AH61">
        <v>390</v>
      </c>
      <c r="AJ61" s="22"/>
    </row>
    <row r="62" spans="1:36" x14ac:dyDescent="0.2">
      <c r="A62" s="16" t="s">
        <v>1336</v>
      </c>
      <c r="B62" s="1" t="s">
        <v>1344</v>
      </c>
      <c r="C62" s="22" t="s">
        <v>583</v>
      </c>
      <c r="D62" s="22"/>
      <c r="E62">
        <v>92.7</v>
      </c>
      <c r="F62" s="23"/>
      <c r="G62" s="23"/>
      <c r="H62" s="23"/>
      <c r="I62">
        <v>0.05</v>
      </c>
      <c r="J62" s="22">
        <v>4.45</v>
      </c>
      <c r="K62" s="22">
        <v>0.35</v>
      </c>
      <c r="L62" s="22"/>
      <c r="M62" s="22"/>
      <c r="N62" s="23">
        <v>0.5</v>
      </c>
      <c r="O62" s="23">
        <v>0.8</v>
      </c>
      <c r="P62" s="22"/>
      <c r="Q62" s="22"/>
      <c r="R62" s="22"/>
      <c r="S62" s="23">
        <v>0.85</v>
      </c>
      <c r="T62" s="22"/>
      <c r="U62" s="22">
        <v>7.5</v>
      </c>
      <c r="V62" s="23"/>
      <c r="W62" s="22">
        <v>0.125</v>
      </c>
      <c r="X62" s="22"/>
      <c r="Y62" s="1">
        <f t="shared" si="0"/>
        <v>4.5163999999999996E-2</v>
      </c>
      <c r="Z62" s="31" t="str">
        <f t="shared" si="1"/>
        <v>=</v>
      </c>
      <c r="AB62" s="31">
        <f>324+434</f>
        <v>758</v>
      </c>
      <c r="AC62">
        <f t="shared" si="2"/>
        <v>379</v>
      </c>
      <c r="AF62">
        <v>5.9</v>
      </c>
      <c r="AG62" s="36">
        <v>2795</v>
      </c>
      <c r="AH62">
        <v>379</v>
      </c>
      <c r="AJ62" s="22"/>
    </row>
    <row r="63" spans="1:36" x14ac:dyDescent="0.2">
      <c r="A63" s="16" t="s">
        <v>1336</v>
      </c>
      <c r="B63" s="1" t="s">
        <v>1344</v>
      </c>
      <c r="C63" s="22" t="s">
        <v>589</v>
      </c>
      <c r="D63" s="22"/>
      <c r="E63">
        <v>92.7</v>
      </c>
      <c r="F63" s="23"/>
      <c r="G63" s="23"/>
      <c r="H63" s="23"/>
      <c r="I63">
        <v>0.05</v>
      </c>
      <c r="J63" s="22">
        <v>4.45</v>
      </c>
      <c r="K63" s="22">
        <v>0.35</v>
      </c>
      <c r="L63" s="22"/>
      <c r="M63" s="22"/>
      <c r="N63" s="23">
        <v>0.5</v>
      </c>
      <c r="O63" s="23">
        <v>0.8</v>
      </c>
      <c r="P63" s="22"/>
      <c r="Q63" s="22"/>
      <c r="R63" s="22"/>
      <c r="S63" s="23">
        <v>0.85</v>
      </c>
      <c r="T63" s="22"/>
      <c r="U63" s="22">
        <v>7.5</v>
      </c>
      <c r="V63" s="23"/>
      <c r="W63" s="22">
        <v>0.125</v>
      </c>
      <c r="X63" s="22"/>
      <c r="Y63" s="1">
        <f t="shared" si="0"/>
        <v>4.5163999999999996E-2</v>
      </c>
      <c r="Z63" s="31" t="str">
        <f t="shared" si="1"/>
        <v>=</v>
      </c>
      <c r="AB63" s="31">
        <f>324+434</f>
        <v>758</v>
      </c>
      <c r="AC63">
        <f t="shared" si="2"/>
        <v>379</v>
      </c>
      <c r="AF63">
        <v>5.9</v>
      </c>
      <c r="AG63" s="36">
        <v>2795</v>
      </c>
      <c r="AH63">
        <v>379</v>
      </c>
      <c r="AJ63" s="22"/>
    </row>
    <row r="64" spans="1:36" x14ac:dyDescent="0.2">
      <c r="A64" s="16" t="s">
        <v>1336</v>
      </c>
      <c r="B64" s="1" t="s">
        <v>1344</v>
      </c>
      <c r="C64" s="22" t="s">
        <v>590</v>
      </c>
      <c r="D64" s="22"/>
      <c r="E64">
        <v>92.7</v>
      </c>
      <c r="F64" s="23"/>
      <c r="G64" s="23"/>
      <c r="H64" s="23"/>
      <c r="I64">
        <v>0.05</v>
      </c>
      <c r="J64" s="22">
        <v>4.45</v>
      </c>
      <c r="K64" s="22">
        <v>0.35</v>
      </c>
      <c r="L64" s="22"/>
      <c r="M64" s="22"/>
      <c r="N64" s="23">
        <v>0.5</v>
      </c>
      <c r="O64" s="23">
        <v>0.8</v>
      </c>
      <c r="P64" s="22"/>
      <c r="Q64" s="22"/>
      <c r="R64" s="22"/>
      <c r="S64" s="23">
        <v>0.85</v>
      </c>
      <c r="T64" s="22"/>
      <c r="U64" s="22">
        <v>7.5</v>
      </c>
      <c r="V64" s="23"/>
      <c r="W64" s="22">
        <v>0.125</v>
      </c>
      <c r="X64" s="22"/>
      <c r="Y64" s="1">
        <f t="shared" si="0"/>
        <v>4.5163999999999996E-2</v>
      </c>
      <c r="Z64" s="31" t="str">
        <f t="shared" si="1"/>
        <v>=</v>
      </c>
      <c r="AB64" s="31">
        <f>324+434</f>
        <v>758</v>
      </c>
      <c r="AC64">
        <f t="shared" si="2"/>
        <v>379</v>
      </c>
      <c r="AF64">
        <v>5.9</v>
      </c>
      <c r="AG64" s="36">
        <v>2795</v>
      </c>
      <c r="AH64">
        <v>379</v>
      </c>
      <c r="AJ64" s="22"/>
    </row>
    <row r="65" spans="1:36" x14ac:dyDescent="0.2">
      <c r="A65" s="16" t="s">
        <v>1336</v>
      </c>
      <c r="B65" s="1" t="s">
        <v>1344</v>
      </c>
      <c r="C65" s="22" t="s">
        <v>591</v>
      </c>
      <c r="D65" s="22"/>
      <c r="E65">
        <v>92.7</v>
      </c>
      <c r="F65" s="23"/>
      <c r="G65" s="23"/>
      <c r="H65" s="23"/>
      <c r="I65">
        <v>0.05</v>
      </c>
      <c r="J65" s="22">
        <v>4.45</v>
      </c>
      <c r="K65" s="22">
        <v>0.35</v>
      </c>
      <c r="L65" s="22"/>
      <c r="M65" s="22"/>
      <c r="N65" s="23">
        <v>0.5</v>
      </c>
      <c r="O65" s="23">
        <v>0.8</v>
      </c>
      <c r="P65" s="22"/>
      <c r="Q65" s="22"/>
      <c r="R65" s="22"/>
      <c r="S65" s="23">
        <v>0.85</v>
      </c>
      <c r="T65" s="22"/>
      <c r="U65" s="22">
        <v>7.5</v>
      </c>
      <c r="V65" s="23"/>
      <c r="W65" s="22">
        <v>0.125</v>
      </c>
      <c r="X65" s="22"/>
      <c r="Y65" s="1">
        <f t="shared" si="0"/>
        <v>4.5163999999999996E-2</v>
      </c>
      <c r="Z65" s="31" t="str">
        <f t="shared" si="1"/>
        <v>=</v>
      </c>
      <c r="AB65" s="31">
        <f>331+407</f>
        <v>738</v>
      </c>
      <c r="AC65">
        <f t="shared" si="2"/>
        <v>369</v>
      </c>
      <c r="AF65">
        <v>5.9</v>
      </c>
      <c r="AG65" s="36">
        <v>2795</v>
      </c>
      <c r="AH65">
        <v>369</v>
      </c>
      <c r="AJ65" s="22"/>
    </row>
    <row r="66" spans="1:36" x14ac:dyDescent="0.2">
      <c r="A66" s="16" t="s">
        <v>1296</v>
      </c>
      <c r="B66" s="1" t="s">
        <v>1345</v>
      </c>
      <c r="C66" s="22" t="s">
        <v>512</v>
      </c>
      <c r="D66" s="22"/>
      <c r="E66">
        <v>93.55</v>
      </c>
      <c r="F66" s="23"/>
      <c r="G66" s="23"/>
      <c r="H66" s="23"/>
      <c r="I66">
        <v>0.05</v>
      </c>
      <c r="J66" s="22">
        <v>4</v>
      </c>
      <c r="K66" s="22">
        <v>0.35</v>
      </c>
      <c r="L66" s="22"/>
      <c r="M66" s="22"/>
      <c r="N66" s="23">
        <v>0.60000000000000009</v>
      </c>
      <c r="O66" s="23">
        <v>0.7</v>
      </c>
      <c r="P66" s="22"/>
      <c r="Q66" s="22"/>
      <c r="R66" s="22"/>
      <c r="S66" s="23">
        <v>0.5</v>
      </c>
      <c r="T66" s="22"/>
      <c r="U66" s="22">
        <v>7.4999999999999997E-2</v>
      </c>
      <c r="V66" s="23"/>
      <c r="W66" s="22">
        <v>0.125</v>
      </c>
      <c r="X66" s="22"/>
      <c r="Y66" s="1">
        <f t="shared" si="0"/>
        <v>3.9533500000000006E-2</v>
      </c>
      <c r="Z66" s="31" t="str">
        <f t="shared" si="1"/>
        <v>=</v>
      </c>
      <c r="AB66" s="31">
        <f>221+244</f>
        <v>465</v>
      </c>
      <c r="AC66">
        <f t="shared" si="2"/>
        <v>232.5</v>
      </c>
      <c r="AF66">
        <v>5.9</v>
      </c>
      <c r="AG66" s="36">
        <v>2795</v>
      </c>
      <c r="AH66">
        <v>232.5</v>
      </c>
      <c r="AJ66" s="22"/>
    </row>
    <row r="67" spans="1:36" x14ac:dyDescent="0.2">
      <c r="A67" s="16" t="s">
        <v>1296</v>
      </c>
      <c r="B67" s="1" t="s">
        <v>1346</v>
      </c>
      <c r="C67" s="22" t="s">
        <v>606</v>
      </c>
      <c r="D67" s="22"/>
      <c r="E67">
        <v>93.55</v>
      </c>
      <c r="F67" s="23"/>
      <c r="G67" s="23"/>
      <c r="H67" s="23"/>
      <c r="I67">
        <v>0.05</v>
      </c>
      <c r="J67" s="22">
        <v>4</v>
      </c>
      <c r="K67" s="22">
        <v>0.35</v>
      </c>
      <c r="L67" s="22"/>
      <c r="M67" s="22"/>
      <c r="N67" s="23">
        <v>0.60000000000000009</v>
      </c>
      <c r="O67" s="23">
        <v>0.7</v>
      </c>
      <c r="P67" s="22"/>
      <c r="Q67" s="22"/>
      <c r="R67" s="22"/>
      <c r="S67" s="23">
        <v>0.5</v>
      </c>
      <c r="T67" s="22"/>
      <c r="U67" s="22">
        <v>7.4999999999999997E-2</v>
      </c>
      <c r="V67" s="23"/>
      <c r="W67" s="22">
        <v>0.125</v>
      </c>
      <c r="X67" s="22"/>
      <c r="Y67" s="1">
        <f t="shared" si="0"/>
        <v>3.9533500000000006E-2</v>
      </c>
      <c r="Z67" s="31" t="str">
        <f t="shared" si="1"/>
        <v>=</v>
      </c>
      <c r="AB67" s="31">
        <f>221+244</f>
        <v>465</v>
      </c>
      <c r="AC67">
        <f t="shared" si="2"/>
        <v>232.5</v>
      </c>
      <c r="AF67">
        <v>5.9</v>
      </c>
      <c r="AG67" s="36">
        <v>2795</v>
      </c>
      <c r="AH67">
        <v>232.5</v>
      </c>
      <c r="AJ67" s="22"/>
    </row>
    <row r="68" spans="1:36" x14ac:dyDescent="0.2">
      <c r="A68" s="16" t="s">
        <v>1296</v>
      </c>
      <c r="B68" s="1" t="s">
        <v>1346</v>
      </c>
      <c r="C68" s="22" t="s">
        <v>608</v>
      </c>
      <c r="D68" s="22"/>
      <c r="E68">
        <v>93.55</v>
      </c>
      <c r="F68" s="23"/>
      <c r="G68" s="23"/>
      <c r="H68" s="23"/>
      <c r="I68">
        <v>0.05</v>
      </c>
      <c r="J68" s="22">
        <v>4</v>
      </c>
      <c r="K68" s="22">
        <v>0.35</v>
      </c>
      <c r="L68" s="22"/>
      <c r="M68" s="22"/>
      <c r="N68" s="23">
        <v>0.60000000000000009</v>
      </c>
      <c r="O68" s="23">
        <v>0.7</v>
      </c>
      <c r="P68" s="22"/>
      <c r="Q68" s="22"/>
      <c r="R68" s="22"/>
      <c r="S68" s="23">
        <v>0.5</v>
      </c>
      <c r="T68" s="22"/>
      <c r="U68" s="22">
        <v>7.4999999999999997E-2</v>
      </c>
      <c r="V68" s="23"/>
      <c r="W68" s="22">
        <v>0.125</v>
      </c>
      <c r="X68" s="22"/>
      <c r="Y68" s="1">
        <f t="shared" si="0"/>
        <v>3.9533500000000006E-2</v>
      </c>
      <c r="Z68" s="31" t="str">
        <f t="shared" si="1"/>
        <v>=</v>
      </c>
      <c r="AB68" s="31">
        <f>221+244</f>
        <v>465</v>
      </c>
      <c r="AC68">
        <f t="shared" si="2"/>
        <v>232.5</v>
      </c>
      <c r="AF68">
        <v>5.9</v>
      </c>
      <c r="AG68" s="36">
        <v>2795</v>
      </c>
      <c r="AH68">
        <v>232.5</v>
      </c>
      <c r="AJ68" s="22"/>
    </row>
    <row r="69" spans="1:36" x14ac:dyDescent="0.2">
      <c r="A69" s="16" t="s">
        <v>1297</v>
      </c>
      <c r="B69" s="1" t="s">
        <v>1347</v>
      </c>
      <c r="C69" s="22" t="s">
        <v>481</v>
      </c>
      <c r="D69" s="22"/>
      <c r="E69">
        <v>92.75</v>
      </c>
      <c r="F69" s="23"/>
      <c r="G69" s="23"/>
      <c r="H69" s="23"/>
      <c r="I69">
        <v>0.05</v>
      </c>
      <c r="J69" s="22">
        <v>4.3499999999999996</v>
      </c>
      <c r="K69" s="22">
        <v>2.5</v>
      </c>
      <c r="L69" s="22"/>
      <c r="M69" s="22"/>
      <c r="N69" s="23">
        <v>1.5</v>
      </c>
      <c r="O69" s="23">
        <v>0.6</v>
      </c>
      <c r="P69" s="22"/>
      <c r="Q69" s="22"/>
      <c r="R69" s="22"/>
      <c r="S69" s="23">
        <v>0.25</v>
      </c>
      <c r="T69" s="22"/>
      <c r="U69" s="22">
        <v>7.4999999999999997E-2</v>
      </c>
      <c r="V69" s="23"/>
      <c r="W69" s="22">
        <v>0.125</v>
      </c>
      <c r="X69" s="22"/>
      <c r="Y69" s="1">
        <f t="shared" ref="Y69:Y132" si="4">3.262*F69/100+4.012*G69/100+4.36*H69/100+2.333*I69/100+3.327*L69/100+4.082*N69/100+2.775*S69/100+2.165*V69/100</f>
        <v>6.9333999999999993E-2</v>
      </c>
      <c r="Z69" s="31" t="str">
        <f t="shared" ref="Z69:Z132" si="5">"="&amp;AI69</f>
        <v>=</v>
      </c>
      <c r="AB69" s="31">
        <f>71+79</f>
        <v>150</v>
      </c>
      <c r="AC69">
        <f t="shared" ref="AC69:AC132" si="6">AB69/2</f>
        <v>75</v>
      </c>
      <c r="AF69">
        <v>5.9</v>
      </c>
      <c r="AG69" s="36">
        <v>2770</v>
      </c>
      <c r="AH69">
        <v>75</v>
      </c>
      <c r="AJ69" s="22"/>
    </row>
    <row r="70" spans="1:36" x14ac:dyDescent="0.2">
      <c r="A70" s="16" t="s">
        <v>1297</v>
      </c>
      <c r="B70" s="1" t="s">
        <v>1347</v>
      </c>
      <c r="C70" s="22" t="s">
        <v>621</v>
      </c>
      <c r="D70" s="22"/>
      <c r="E70">
        <v>92.75</v>
      </c>
      <c r="F70" s="23"/>
      <c r="G70" s="23"/>
      <c r="H70" s="23"/>
      <c r="I70">
        <v>0.05</v>
      </c>
      <c r="J70" s="22">
        <v>4.3499999999999996</v>
      </c>
      <c r="K70" s="22">
        <v>2.5</v>
      </c>
      <c r="L70" s="22"/>
      <c r="M70" s="22"/>
      <c r="N70" s="23">
        <v>1.5</v>
      </c>
      <c r="O70" s="23">
        <v>0.6</v>
      </c>
      <c r="P70" s="22"/>
      <c r="Q70" s="22"/>
      <c r="R70" s="22"/>
      <c r="S70" s="23">
        <v>0.25</v>
      </c>
      <c r="T70" s="22"/>
      <c r="U70" s="22">
        <v>7.4999999999999997E-2</v>
      </c>
      <c r="V70" s="23"/>
      <c r="W70" s="22">
        <v>0.125</v>
      </c>
      <c r="X70" s="22"/>
      <c r="Y70" s="1">
        <f t="shared" si="4"/>
        <v>6.9333999999999993E-2</v>
      </c>
      <c r="Z70" s="31" t="str">
        <f t="shared" si="5"/>
        <v>=</v>
      </c>
      <c r="AB70" s="31">
        <f>248+372</f>
        <v>620</v>
      </c>
      <c r="AC70">
        <f t="shared" si="6"/>
        <v>310</v>
      </c>
      <c r="AF70">
        <v>5.9</v>
      </c>
      <c r="AG70" s="36">
        <v>2765</v>
      </c>
      <c r="AH70">
        <v>310</v>
      </c>
      <c r="AJ70" s="22"/>
    </row>
    <row r="71" spans="1:36" x14ac:dyDescent="0.2">
      <c r="A71" s="16" t="s">
        <v>1297</v>
      </c>
      <c r="B71" s="1" t="s">
        <v>1347</v>
      </c>
      <c r="C71" s="22" t="s">
        <v>632</v>
      </c>
      <c r="D71" s="22"/>
      <c r="E71">
        <v>92.75</v>
      </c>
      <c r="F71" s="23"/>
      <c r="G71" s="23"/>
      <c r="H71" s="23"/>
      <c r="I71">
        <v>0.05</v>
      </c>
      <c r="J71" s="22">
        <v>4.3499999999999996</v>
      </c>
      <c r="K71" s="22">
        <v>2.5</v>
      </c>
      <c r="L71" s="22"/>
      <c r="M71" s="22"/>
      <c r="N71" s="23">
        <v>1.5</v>
      </c>
      <c r="O71" s="23">
        <v>0.6</v>
      </c>
      <c r="P71" s="22"/>
      <c r="Q71" s="22"/>
      <c r="R71" s="22"/>
      <c r="S71" s="23">
        <v>0.25</v>
      </c>
      <c r="T71" s="22"/>
      <c r="U71" s="22">
        <v>7.4999999999999997E-2</v>
      </c>
      <c r="V71" s="23"/>
      <c r="W71" s="22">
        <v>0.125</v>
      </c>
      <c r="X71" s="22"/>
      <c r="Y71" s="1">
        <f t="shared" si="4"/>
        <v>6.9333999999999993E-2</v>
      </c>
      <c r="Z71" s="31" t="str">
        <f t="shared" si="5"/>
        <v>=</v>
      </c>
      <c r="AB71" s="31">
        <f>248+345</f>
        <v>593</v>
      </c>
      <c r="AC71">
        <f t="shared" si="6"/>
        <v>296.5</v>
      </c>
      <c r="AF71">
        <v>5.9</v>
      </c>
      <c r="AG71" s="36">
        <v>2770</v>
      </c>
      <c r="AH71">
        <v>296.5</v>
      </c>
      <c r="AJ71" s="22"/>
    </row>
    <row r="72" spans="1:36" x14ac:dyDescent="0.2">
      <c r="A72" s="16" t="s">
        <v>1297</v>
      </c>
      <c r="B72" s="1" t="s">
        <v>1347</v>
      </c>
      <c r="C72" s="22" t="s">
        <v>637</v>
      </c>
      <c r="D72" s="22"/>
      <c r="E72">
        <v>92.75</v>
      </c>
      <c r="F72" s="23"/>
      <c r="G72" s="23"/>
      <c r="H72" s="23"/>
      <c r="I72">
        <v>0.05</v>
      </c>
      <c r="J72" s="22">
        <v>4.3499999999999996</v>
      </c>
      <c r="K72" s="22">
        <v>2.5</v>
      </c>
      <c r="L72" s="22"/>
      <c r="M72" s="22"/>
      <c r="N72" s="23">
        <v>1.5</v>
      </c>
      <c r="O72" s="23">
        <v>0.6</v>
      </c>
      <c r="P72" s="22"/>
      <c r="Q72" s="22"/>
      <c r="R72" s="22"/>
      <c r="S72" s="23">
        <v>0.25</v>
      </c>
      <c r="T72" s="22"/>
      <c r="U72" s="22">
        <v>7.4999999999999997E-2</v>
      </c>
      <c r="V72" s="23"/>
      <c r="W72" s="22">
        <v>0.125</v>
      </c>
      <c r="X72" s="22"/>
      <c r="Y72" s="1">
        <f t="shared" si="4"/>
        <v>6.9333999999999993E-2</v>
      </c>
      <c r="Z72" s="31" t="str">
        <f t="shared" si="5"/>
        <v>=</v>
      </c>
      <c r="AB72" s="31">
        <f>248+372</f>
        <v>620</v>
      </c>
      <c r="AC72">
        <f t="shared" si="6"/>
        <v>310</v>
      </c>
      <c r="AF72">
        <v>5.9</v>
      </c>
      <c r="AG72" s="36">
        <v>2770</v>
      </c>
      <c r="AH72">
        <v>310</v>
      </c>
      <c r="AJ72" s="22"/>
    </row>
    <row r="73" spans="1:36" x14ac:dyDescent="0.2">
      <c r="A73" s="16" t="s">
        <v>1297</v>
      </c>
      <c r="B73" s="1" t="s">
        <v>1347</v>
      </c>
      <c r="C73" s="22" t="s">
        <v>642</v>
      </c>
      <c r="D73" s="22"/>
      <c r="E73">
        <v>92.75</v>
      </c>
      <c r="F73" s="23"/>
      <c r="G73" s="23"/>
      <c r="H73" s="23"/>
      <c r="I73">
        <v>0.05</v>
      </c>
      <c r="J73" s="22">
        <v>4.3499999999999996</v>
      </c>
      <c r="K73" s="22">
        <v>2.5</v>
      </c>
      <c r="L73" s="22"/>
      <c r="M73" s="22"/>
      <c r="N73" s="23">
        <v>1.5</v>
      </c>
      <c r="O73" s="23">
        <v>0.6</v>
      </c>
      <c r="P73" s="22"/>
      <c r="Q73" s="22"/>
      <c r="R73" s="22"/>
      <c r="S73" s="23">
        <v>0.25</v>
      </c>
      <c r="T73" s="22"/>
      <c r="U73" s="22">
        <v>7.4999999999999997E-2</v>
      </c>
      <c r="V73" s="23"/>
      <c r="W73" s="22">
        <v>0.125</v>
      </c>
      <c r="X73" s="22"/>
      <c r="Y73" s="1">
        <f t="shared" si="4"/>
        <v>6.9333999999999993E-2</v>
      </c>
      <c r="Z73" s="31" t="str">
        <f t="shared" si="5"/>
        <v>=</v>
      </c>
      <c r="AB73" s="31">
        <f>359+397</f>
        <v>756</v>
      </c>
      <c r="AC73">
        <f t="shared" si="6"/>
        <v>378</v>
      </c>
      <c r="AF73">
        <v>5.9</v>
      </c>
      <c r="AG73" s="36">
        <v>2765</v>
      </c>
      <c r="AH73">
        <v>378</v>
      </c>
      <c r="AJ73" s="22"/>
    </row>
    <row r="74" spans="1:36" x14ac:dyDescent="0.2">
      <c r="A74" s="16" t="s">
        <v>1297</v>
      </c>
      <c r="B74" s="1" t="s">
        <v>1347</v>
      </c>
      <c r="C74" s="22" t="s">
        <v>646</v>
      </c>
      <c r="D74" s="22"/>
      <c r="E74">
        <v>92.75</v>
      </c>
      <c r="F74" s="23"/>
      <c r="G74" s="23"/>
      <c r="H74" s="23"/>
      <c r="I74">
        <v>0.05</v>
      </c>
      <c r="J74" s="22">
        <v>4.3499999999999996</v>
      </c>
      <c r="K74" s="22">
        <v>2.5</v>
      </c>
      <c r="L74" s="22"/>
      <c r="M74" s="22"/>
      <c r="N74" s="23">
        <v>1.5</v>
      </c>
      <c r="O74" s="23">
        <v>0.6</v>
      </c>
      <c r="P74" s="22"/>
      <c r="Q74" s="22"/>
      <c r="R74" s="22"/>
      <c r="S74" s="23">
        <v>0.25</v>
      </c>
      <c r="T74" s="22"/>
      <c r="U74" s="22">
        <v>7.4999999999999997E-2</v>
      </c>
      <c r="V74" s="23"/>
      <c r="W74" s="22">
        <v>0.125</v>
      </c>
      <c r="X74" s="22"/>
      <c r="Y74" s="1">
        <f t="shared" si="4"/>
        <v>6.9333999999999993E-2</v>
      </c>
      <c r="Z74" s="31" t="str">
        <f t="shared" si="5"/>
        <v>=</v>
      </c>
      <c r="AB74" s="31">
        <f>324+386</f>
        <v>710</v>
      </c>
      <c r="AC74">
        <f t="shared" si="6"/>
        <v>355</v>
      </c>
      <c r="AF74">
        <v>5.9</v>
      </c>
      <c r="AG74" s="36">
        <v>2765</v>
      </c>
      <c r="AH74">
        <v>355</v>
      </c>
      <c r="AJ74" s="22"/>
    </row>
    <row r="75" spans="1:36" x14ac:dyDescent="0.2">
      <c r="A75" s="16" t="s">
        <v>1297</v>
      </c>
      <c r="B75" s="1" t="s">
        <v>1347</v>
      </c>
      <c r="C75" s="22" t="s">
        <v>512</v>
      </c>
      <c r="D75" s="22"/>
      <c r="E75">
        <v>92.75</v>
      </c>
      <c r="F75" s="23"/>
      <c r="G75" s="23"/>
      <c r="H75" s="23"/>
      <c r="I75">
        <v>0.05</v>
      </c>
      <c r="J75" s="22">
        <v>4.3499999999999996</v>
      </c>
      <c r="K75" s="22">
        <v>2.5</v>
      </c>
      <c r="L75" s="22"/>
      <c r="M75" s="22"/>
      <c r="N75" s="23">
        <v>1.5</v>
      </c>
      <c r="O75" s="23">
        <v>0.6</v>
      </c>
      <c r="P75" s="22"/>
      <c r="Q75" s="22"/>
      <c r="R75" s="22"/>
      <c r="S75" s="23">
        <v>0.25</v>
      </c>
      <c r="T75" s="22"/>
      <c r="U75" s="22">
        <v>7.4999999999999997E-2</v>
      </c>
      <c r="V75" s="23"/>
      <c r="W75" s="22">
        <v>0.125</v>
      </c>
      <c r="X75" s="22"/>
      <c r="Y75" s="1">
        <f t="shared" si="4"/>
        <v>6.9333999999999993E-2</v>
      </c>
      <c r="Z75" s="31" t="str">
        <f t="shared" si="5"/>
        <v>=</v>
      </c>
      <c r="AB75" s="31">
        <f>248+330</f>
        <v>578</v>
      </c>
      <c r="AC75">
        <f t="shared" si="6"/>
        <v>289</v>
      </c>
      <c r="AF75">
        <v>5.9</v>
      </c>
      <c r="AG75" s="36">
        <v>2770</v>
      </c>
      <c r="AH75">
        <v>289</v>
      </c>
      <c r="AJ75" s="22"/>
    </row>
    <row r="76" spans="1:36" x14ac:dyDescent="0.2">
      <c r="A76" s="16" t="s">
        <v>1297</v>
      </c>
      <c r="B76" s="1" t="s">
        <v>1348</v>
      </c>
      <c r="C76" s="22" t="s">
        <v>606</v>
      </c>
      <c r="D76" s="22"/>
      <c r="E76">
        <v>92.75</v>
      </c>
      <c r="F76" s="23"/>
      <c r="G76" s="23"/>
      <c r="H76" s="23"/>
      <c r="I76">
        <v>0.05</v>
      </c>
      <c r="J76" s="22">
        <v>4.3499999999999996</v>
      </c>
      <c r="K76" s="22">
        <v>2.5</v>
      </c>
      <c r="L76" s="22"/>
      <c r="M76" s="22"/>
      <c r="N76" s="23">
        <v>1.5</v>
      </c>
      <c r="O76" s="23">
        <v>0.6</v>
      </c>
      <c r="P76" s="22"/>
      <c r="Q76" s="22"/>
      <c r="R76" s="22"/>
      <c r="S76" s="23">
        <v>0.25</v>
      </c>
      <c r="T76" s="22"/>
      <c r="U76" s="22">
        <v>7.4999999999999997E-2</v>
      </c>
      <c r="V76" s="23"/>
      <c r="W76" s="22">
        <v>0.125</v>
      </c>
      <c r="X76" s="22"/>
      <c r="Y76" s="1">
        <f t="shared" si="4"/>
        <v>6.9333999999999993E-2</v>
      </c>
      <c r="Z76" s="31" t="str">
        <f t="shared" si="5"/>
        <v>=</v>
      </c>
      <c r="AB76" s="31">
        <f>186+276</f>
        <v>462</v>
      </c>
      <c r="AC76">
        <f t="shared" si="6"/>
        <v>231</v>
      </c>
      <c r="AF76">
        <v>5.9</v>
      </c>
      <c r="AG76" s="36">
        <v>2765</v>
      </c>
      <c r="AH76">
        <v>231</v>
      </c>
      <c r="AJ76" s="22"/>
    </row>
    <row r="77" spans="1:36" x14ac:dyDescent="0.2">
      <c r="A77" s="16" t="s">
        <v>1297</v>
      </c>
      <c r="B77" s="1" t="s">
        <v>1347</v>
      </c>
      <c r="C77" s="22" t="s">
        <v>294</v>
      </c>
      <c r="D77" s="22"/>
      <c r="E77">
        <v>92.75</v>
      </c>
      <c r="F77" s="23"/>
      <c r="G77" s="23"/>
      <c r="H77" s="23"/>
      <c r="I77">
        <v>0.05</v>
      </c>
      <c r="J77" s="22">
        <v>4.3499999999999996</v>
      </c>
      <c r="K77" s="22">
        <v>2.5</v>
      </c>
      <c r="L77" s="22"/>
      <c r="M77" s="22"/>
      <c r="N77" s="23">
        <v>1.5</v>
      </c>
      <c r="O77" s="23">
        <v>0.6</v>
      </c>
      <c r="P77" s="22"/>
      <c r="Q77" s="22"/>
      <c r="R77" s="22"/>
      <c r="S77" s="23">
        <v>0.25</v>
      </c>
      <c r="T77" s="22"/>
      <c r="U77" s="22">
        <v>7.4999999999999997E-2</v>
      </c>
      <c r="V77" s="23"/>
      <c r="W77" s="22">
        <v>0.125</v>
      </c>
      <c r="X77" s="22"/>
      <c r="Y77" s="1">
        <f t="shared" si="4"/>
        <v>6.9333999999999993E-2</v>
      </c>
      <c r="Z77" s="31" t="str">
        <f t="shared" si="5"/>
        <v>=</v>
      </c>
      <c r="AB77" s="31">
        <f>345+381</f>
        <v>726</v>
      </c>
      <c r="AC77">
        <f t="shared" si="6"/>
        <v>363</v>
      </c>
      <c r="AF77">
        <v>5.9</v>
      </c>
      <c r="AG77" s="36">
        <v>2765</v>
      </c>
      <c r="AH77">
        <v>363</v>
      </c>
      <c r="AJ77" s="22"/>
    </row>
    <row r="78" spans="1:36" s="47" customFormat="1" x14ac:dyDescent="0.2">
      <c r="A78" s="49" t="s">
        <v>1297</v>
      </c>
      <c r="B78" s="50" t="s">
        <v>1347</v>
      </c>
      <c r="C78" s="50" t="s">
        <v>529</v>
      </c>
      <c r="D78" s="50"/>
      <c r="E78" s="47">
        <v>92.75</v>
      </c>
      <c r="F78" s="51"/>
      <c r="G78" s="51"/>
      <c r="H78" s="51"/>
      <c r="I78" s="47">
        <v>0.05</v>
      </c>
      <c r="J78" s="50">
        <v>4.3499999999999996</v>
      </c>
      <c r="K78" s="50">
        <v>2.5</v>
      </c>
      <c r="L78" s="50"/>
      <c r="M78" s="50"/>
      <c r="N78" s="51">
        <v>1.5</v>
      </c>
      <c r="O78" s="51">
        <v>0.6</v>
      </c>
      <c r="P78" s="50"/>
      <c r="Q78" s="50"/>
      <c r="R78" s="50"/>
      <c r="S78" s="51">
        <v>0.25</v>
      </c>
      <c r="T78" s="50"/>
      <c r="U78" s="50">
        <v>7.4999999999999997E-2</v>
      </c>
      <c r="V78" s="51"/>
      <c r="W78" s="50">
        <v>0.125</v>
      </c>
      <c r="X78" s="50"/>
      <c r="Y78" s="50">
        <f>3.262*F78/100+4.012*G78/100+4.36*H78/100+2.333*I78/100+3.327*L78/100+4.082*N78/100+2.775*S78/100+2.165*V78/100</f>
        <v>6.9333999999999993E-2</v>
      </c>
      <c r="Z78" s="57" t="str">
        <f t="shared" si="5"/>
        <v>=</v>
      </c>
      <c r="AB78" s="57">
        <f>317+350</f>
        <v>667</v>
      </c>
      <c r="AC78" s="47">
        <f t="shared" si="6"/>
        <v>333.5</v>
      </c>
      <c r="AF78">
        <v>5.9</v>
      </c>
      <c r="AG78" s="58">
        <v>2765</v>
      </c>
      <c r="AH78" s="47">
        <v>333.5</v>
      </c>
      <c r="AJ78" s="50"/>
    </row>
    <row r="79" spans="1:36" x14ac:dyDescent="0.2">
      <c r="A79" s="16" t="s">
        <v>1297</v>
      </c>
      <c r="B79" s="1" t="s">
        <v>1347</v>
      </c>
      <c r="C79" s="22" t="s">
        <v>666</v>
      </c>
      <c r="D79" s="22"/>
      <c r="E79">
        <v>92.75</v>
      </c>
      <c r="F79" s="23"/>
      <c r="G79" s="23"/>
      <c r="H79" s="23"/>
      <c r="I79">
        <v>0.05</v>
      </c>
      <c r="J79" s="22">
        <v>4.3499999999999996</v>
      </c>
      <c r="K79" s="22">
        <v>2.5</v>
      </c>
      <c r="L79" s="22"/>
      <c r="M79" s="22"/>
      <c r="N79" s="23">
        <v>1.5</v>
      </c>
      <c r="O79" s="23">
        <v>0.6</v>
      </c>
      <c r="P79" s="22"/>
      <c r="Q79" s="22"/>
      <c r="R79" s="22"/>
      <c r="S79" s="23">
        <v>0.25</v>
      </c>
      <c r="T79" s="22"/>
      <c r="U79" s="22">
        <v>7.4999999999999997E-2</v>
      </c>
      <c r="V79" s="23"/>
      <c r="W79" s="22">
        <v>0.125</v>
      </c>
      <c r="X79" s="22"/>
      <c r="Y79" s="1">
        <f t="shared" si="4"/>
        <v>6.9333999999999993E-2</v>
      </c>
      <c r="Z79" s="31" t="str">
        <f t="shared" si="5"/>
        <v>=</v>
      </c>
      <c r="AB79" s="31">
        <f>296+352</f>
        <v>648</v>
      </c>
      <c r="AC79">
        <f t="shared" si="6"/>
        <v>324</v>
      </c>
      <c r="AF79">
        <v>5.9</v>
      </c>
      <c r="AG79" s="36">
        <v>2765</v>
      </c>
      <c r="AH79">
        <v>324</v>
      </c>
      <c r="AJ79" s="22"/>
    </row>
    <row r="80" spans="1:36" x14ac:dyDescent="0.2">
      <c r="A80" s="16" t="s">
        <v>1297</v>
      </c>
      <c r="B80" s="1" t="s">
        <v>1347</v>
      </c>
      <c r="C80" s="22" t="s">
        <v>669</v>
      </c>
      <c r="D80" s="22"/>
      <c r="E80">
        <v>92.75</v>
      </c>
      <c r="F80" s="23"/>
      <c r="G80" s="23"/>
      <c r="H80" s="23"/>
      <c r="I80">
        <v>0.05</v>
      </c>
      <c r="J80" s="22">
        <v>4.3499999999999996</v>
      </c>
      <c r="K80" s="22">
        <v>2.5</v>
      </c>
      <c r="L80" s="22"/>
      <c r="M80" s="22"/>
      <c r="N80" s="23">
        <v>1.5</v>
      </c>
      <c r="O80" s="23">
        <v>0.6</v>
      </c>
      <c r="P80" s="22"/>
      <c r="Q80" s="22"/>
      <c r="R80" s="22"/>
      <c r="S80" s="23">
        <v>0.25</v>
      </c>
      <c r="T80" s="22"/>
      <c r="U80" s="22">
        <v>7.4999999999999997E-2</v>
      </c>
      <c r="V80" s="23"/>
      <c r="W80" s="22">
        <v>0.125</v>
      </c>
      <c r="X80" s="22"/>
      <c r="Y80" s="1">
        <f t="shared" si="4"/>
        <v>6.9333999999999993E-2</v>
      </c>
      <c r="Z80" s="31" t="str">
        <f t="shared" si="5"/>
        <v>=</v>
      </c>
      <c r="AB80" s="31">
        <f>372+421</f>
        <v>793</v>
      </c>
      <c r="AC80">
        <f t="shared" si="6"/>
        <v>396.5</v>
      </c>
      <c r="AF80">
        <v>5.9</v>
      </c>
      <c r="AG80" s="36">
        <v>2765</v>
      </c>
      <c r="AH80">
        <v>396.5</v>
      </c>
      <c r="AJ80" s="22"/>
    </row>
    <row r="81" spans="1:36" x14ac:dyDescent="0.2">
      <c r="A81" s="16" t="s">
        <v>1298</v>
      </c>
      <c r="B81" s="1" t="s">
        <v>1347</v>
      </c>
      <c r="C81" s="22" t="s">
        <v>673</v>
      </c>
      <c r="D81" s="22"/>
      <c r="E81">
        <v>92.75</v>
      </c>
      <c r="F81" s="23"/>
      <c r="G81" s="23"/>
      <c r="H81" s="23"/>
      <c r="I81">
        <v>0.05</v>
      </c>
      <c r="J81" s="22">
        <v>4.3499999999999996</v>
      </c>
      <c r="K81" s="22">
        <v>2.5</v>
      </c>
      <c r="L81" s="22"/>
      <c r="M81" s="22"/>
      <c r="N81" s="23">
        <v>1.5</v>
      </c>
      <c r="O81" s="23">
        <v>0.6</v>
      </c>
      <c r="P81" s="22"/>
      <c r="Q81" s="22"/>
      <c r="R81" s="22"/>
      <c r="S81" s="23">
        <v>0.25</v>
      </c>
      <c r="T81" s="22"/>
      <c r="U81" s="22">
        <v>7.4999999999999997E-2</v>
      </c>
      <c r="V81" s="23"/>
      <c r="W81" s="22">
        <v>0.125</v>
      </c>
      <c r="X81" s="22"/>
      <c r="Y81" s="1">
        <f t="shared" si="4"/>
        <v>6.9333999999999993E-2</v>
      </c>
      <c r="Z81" s="31" t="str">
        <f t="shared" si="5"/>
        <v>=</v>
      </c>
      <c r="AB81" s="31">
        <f>386+427</f>
        <v>813</v>
      </c>
      <c r="AC81">
        <f t="shared" si="6"/>
        <v>406.5</v>
      </c>
      <c r="AF81">
        <v>5.9</v>
      </c>
      <c r="AG81" s="36">
        <v>2765</v>
      </c>
      <c r="AH81">
        <v>406.5</v>
      </c>
      <c r="AJ81" s="22"/>
    </row>
    <row r="82" spans="1:36" x14ac:dyDescent="0.2">
      <c r="A82" s="16" t="s">
        <v>1299</v>
      </c>
      <c r="B82" s="1" t="s">
        <v>1349</v>
      </c>
      <c r="C82" s="22" t="s">
        <v>294</v>
      </c>
      <c r="D82" s="22"/>
      <c r="E82">
        <v>93.050000000000011</v>
      </c>
      <c r="F82" s="23"/>
      <c r="G82" s="23"/>
      <c r="H82" s="23"/>
      <c r="I82">
        <v>0.05</v>
      </c>
      <c r="J82" s="22">
        <v>4.45</v>
      </c>
      <c r="K82" s="22">
        <v>0.5</v>
      </c>
      <c r="L82" s="22"/>
      <c r="M82" s="22"/>
      <c r="N82" s="23">
        <v>2.5000000000000001E-2</v>
      </c>
      <c r="O82" s="23">
        <v>2.5000000000000001E-2</v>
      </c>
      <c r="P82" s="22"/>
      <c r="Q82" s="22"/>
      <c r="R82" s="22"/>
      <c r="S82" s="23">
        <v>0.85</v>
      </c>
      <c r="T82" s="22"/>
      <c r="U82" s="22">
        <v>0.125</v>
      </c>
      <c r="V82" s="23"/>
      <c r="W82" s="22">
        <v>0.125</v>
      </c>
      <c r="X82" s="22"/>
      <c r="Y82" s="1">
        <f t="shared" si="4"/>
        <v>2.5774499999999999E-2</v>
      </c>
      <c r="Z82" s="31" t="str">
        <f t="shared" si="5"/>
        <v>=</v>
      </c>
      <c r="AB82" s="31">
        <f>221+244</f>
        <v>465</v>
      </c>
      <c r="AC82">
        <f t="shared" si="6"/>
        <v>232.5</v>
      </c>
      <c r="AF82">
        <v>5.9</v>
      </c>
      <c r="AG82" s="36">
        <v>2795</v>
      </c>
      <c r="AH82">
        <v>232.5</v>
      </c>
      <c r="AJ82" s="22"/>
    </row>
    <row r="83" spans="1:36" x14ac:dyDescent="0.2">
      <c r="A83" s="16" t="s">
        <v>1300</v>
      </c>
      <c r="B83" s="1" t="s">
        <v>1350</v>
      </c>
      <c r="C83" s="22" t="s">
        <v>682</v>
      </c>
      <c r="D83" s="22"/>
      <c r="E83">
        <v>93.8</v>
      </c>
      <c r="F83" s="23"/>
      <c r="G83" s="23"/>
      <c r="H83" s="23"/>
      <c r="I83">
        <v>0</v>
      </c>
      <c r="J83" s="22">
        <v>3.95</v>
      </c>
      <c r="K83" s="22">
        <v>3.5000000000000003E-2</v>
      </c>
      <c r="L83" s="22"/>
      <c r="M83" s="22"/>
      <c r="N83" s="23">
        <v>1.3</v>
      </c>
      <c r="O83" s="23">
        <v>0.55000000000000004</v>
      </c>
      <c r="P83" s="22"/>
      <c r="Q83" s="22"/>
      <c r="R83" s="22"/>
      <c r="S83" s="23">
        <v>2.5000000000000001E-2</v>
      </c>
      <c r="T83" s="22"/>
      <c r="U83" s="22">
        <v>0.03</v>
      </c>
      <c r="V83" s="23"/>
      <c r="W83" s="22">
        <v>0.05</v>
      </c>
      <c r="X83" s="22">
        <f>(0.05+0.25)/2</f>
        <v>0.15</v>
      </c>
      <c r="Y83" s="1">
        <f t="shared" si="4"/>
        <v>5.3759750000000002E-2</v>
      </c>
      <c r="Z83" s="31" t="str">
        <f t="shared" si="5"/>
        <v>=</v>
      </c>
      <c r="AB83" s="31">
        <f>297+392</f>
        <v>689</v>
      </c>
      <c r="AC83">
        <f t="shared" si="6"/>
        <v>344.5</v>
      </c>
      <c r="AF83">
        <v>5.9</v>
      </c>
      <c r="AG83" s="36">
        <v>2770</v>
      </c>
      <c r="AH83">
        <v>344.5</v>
      </c>
      <c r="AJ83" s="22"/>
    </row>
    <row r="84" spans="1:36" x14ac:dyDescent="0.2">
      <c r="A84" s="16" t="s">
        <v>1300</v>
      </c>
      <c r="B84" s="1" t="s">
        <v>1351</v>
      </c>
      <c r="C84" s="22" t="s">
        <v>481</v>
      </c>
      <c r="D84" s="22"/>
      <c r="E84">
        <v>95.9</v>
      </c>
      <c r="F84" s="23"/>
      <c r="G84" s="23"/>
      <c r="H84" s="23"/>
      <c r="I84">
        <v>0.05</v>
      </c>
      <c r="J84" s="22">
        <v>2.6</v>
      </c>
      <c r="K84" s="22">
        <v>0.25</v>
      </c>
      <c r="L84" s="22"/>
      <c r="M84" s="22"/>
      <c r="N84" s="23">
        <v>0.44999999999999996</v>
      </c>
      <c r="O84" s="23">
        <v>0.25</v>
      </c>
      <c r="P84" s="22"/>
      <c r="Q84" s="22"/>
      <c r="R84" s="22"/>
      <c r="S84" s="23">
        <v>0.25</v>
      </c>
      <c r="T84" s="22"/>
      <c r="U84" s="22">
        <v>7.4999999999999997E-2</v>
      </c>
      <c r="V84" s="23"/>
      <c r="W84" s="22">
        <v>0.125</v>
      </c>
      <c r="X84" s="22"/>
      <c r="Y84" s="1">
        <f t="shared" si="4"/>
        <v>2.6472999999999997E-2</v>
      </c>
      <c r="Z84" s="31" t="str">
        <f t="shared" si="5"/>
        <v>=</v>
      </c>
      <c r="AB84" s="31">
        <f>53+59</f>
        <v>112</v>
      </c>
      <c r="AC84">
        <f t="shared" si="6"/>
        <v>56</v>
      </c>
      <c r="AF84">
        <v>5.9</v>
      </c>
      <c r="AG84" s="36">
        <v>2750</v>
      </c>
      <c r="AH84">
        <v>56</v>
      </c>
      <c r="AJ84" s="22"/>
    </row>
    <row r="85" spans="1:36" x14ac:dyDescent="0.2">
      <c r="A85" s="16" t="s">
        <v>1301</v>
      </c>
      <c r="B85" s="1" t="s">
        <v>1351</v>
      </c>
      <c r="C85" s="22" t="s">
        <v>512</v>
      </c>
      <c r="D85" s="22"/>
      <c r="E85">
        <v>95.9</v>
      </c>
      <c r="F85" s="23"/>
      <c r="G85" s="23"/>
      <c r="H85" s="23"/>
      <c r="I85">
        <v>0.05</v>
      </c>
      <c r="J85" s="22">
        <v>2.6</v>
      </c>
      <c r="K85" s="22">
        <v>0.25</v>
      </c>
      <c r="L85" s="22"/>
      <c r="M85" s="22"/>
      <c r="N85" s="23">
        <v>0.44999999999999996</v>
      </c>
      <c r="O85" s="23">
        <v>0.25</v>
      </c>
      <c r="P85" s="22"/>
      <c r="Q85" s="22"/>
      <c r="R85" s="22"/>
      <c r="S85" s="23">
        <v>0.25</v>
      </c>
      <c r="T85" s="22"/>
      <c r="U85" s="22">
        <v>7.4999999999999997E-2</v>
      </c>
      <c r="V85" s="23"/>
      <c r="W85" s="22">
        <v>0.125</v>
      </c>
      <c r="X85" s="22"/>
      <c r="Y85" s="1">
        <f t="shared" si="4"/>
        <v>2.6472999999999997E-2</v>
      </c>
      <c r="Z85" s="31" t="str">
        <f t="shared" si="5"/>
        <v>=</v>
      </c>
      <c r="AB85" s="31">
        <f>185+204</f>
        <v>389</v>
      </c>
      <c r="AC85">
        <f t="shared" si="6"/>
        <v>194.5</v>
      </c>
      <c r="AF85">
        <v>5.9</v>
      </c>
      <c r="AG85" s="36">
        <v>2750</v>
      </c>
      <c r="AH85">
        <v>194.5</v>
      </c>
      <c r="AJ85" s="22"/>
    </row>
    <row r="86" spans="1:36" x14ac:dyDescent="0.2">
      <c r="A86" s="16" t="s">
        <v>1301</v>
      </c>
      <c r="B86" s="1" t="s">
        <v>1352</v>
      </c>
      <c r="C86" s="22" t="s">
        <v>718</v>
      </c>
      <c r="D86" s="22"/>
      <c r="E86">
        <v>94.449999999999989</v>
      </c>
      <c r="F86" s="23"/>
      <c r="G86" s="23"/>
      <c r="H86" s="23"/>
      <c r="I86">
        <v>2.5000000000000001E-2</v>
      </c>
      <c r="J86" s="22">
        <v>0.06</v>
      </c>
      <c r="K86" s="22">
        <v>0.06</v>
      </c>
      <c r="L86" s="22"/>
      <c r="M86" s="22">
        <f>(1.9+2.6)/2</f>
        <v>2.25</v>
      </c>
      <c r="N86" s="23">
        <v>0.125</v>
      </c>
      <c r="O86" s="23">
        <v>5.0000000000000001E-3</v>
      </c>
      <c r="P86" s="22"/>
      <c r="Q86" s="22"/>
      <c r="R86" s="22"/>
      <c r="S86" s="23">
        <v>0.05</v>
      </c>
      <c r="T86" s="22"/>
      <c r="U86" s="22">
        <v>7.4999999999999997E-2</v>
      </c>
      <c r="V86" s="23"/>
      <c r="W86" s="22">
        <v>0.05</v>
      </c>
      <c r="X86" s="22">
        <f>(0.08+0.15)/2</f>
        <v>0.11499999999999999</v>
      </c>
      <c r="Y86" s="1">
        <f t="shared" si="4"/>
        <v>7.0732499999999997E-3</v>
      </c>
      <c r="Z86" s="31" t="str">
        <f t="shared" si="5"/>
        <v>=</v>
      </c>
      <c r="AB86" s="31">
        <f>386+483</f>
        <v>869</v>
      </c>
      <c r="AC86">
        <f t="shared" si="6"/>
        <v>434.5</v>
      </c>
      <c r="AF86">
        <v>5.9</v>
      </c>
      <c r="AG86" s="36">
        <v>2600</v>
      </c>
      <c r="AH86">
        <v>434.5</v>
      </c>
      <c r="AJ86" s="22"/>
    </row>
    <row r="87" spans="1:36" x14ac:dyDescent="0.2">
      <c r="B87" s="1" t="s">
        <v>735</v>
      </c>
      <c r="C87" s="22" t="s">
        <v>673</v>
      </c>
      <c r="D87" s="22"/>
      <c r="E87">
        <v>92.95</v>
      </c>
      <c r="F87" s="23"/>
      <c r="G87" s="23"/>
      <c r="H87" s="23"/>
      <c r="I87">
        <v>0.05</v>
      </c>
      <c r="J87" s="22">
        <v>4.3499999999999996</v>
      </c>
      <c r="K87" s="22">
        <v>0.15</v>
      </c>
      <c r="L87" s="22"/>
      <c r="M87" s="22"/>
      <c r="N87" s="23">
        <v>1.5</v>
      </c>
      <c r="O87" s="23">
        <v>0.6</v>
      </c>
      <c r="P87" s="22"/>
      <c r="Q87" s="22"/>
      <c r="R87" s="22"/>
      <c r="S87" s="23">
        <v>0.1</v>
      </c>
      <c r="T87" s="22"/>
      <c r="U87" s="22">
        <v>7.4999999999999997E-2</v>
      </c>
      <c r="V87" s="23"/>
      <c r="W87" s="22">
        <v>0.125</v>
      </c>
      <c r="X87" s="22"/>
      <c r="Y87" s="1">
        <f t="shared" si="4"/>
        <v>6.5171499999999993E-2</v>
      </c>
      <c r="Z87" s="31" t="str">
        <f t="shared" si="5"/>
        <v>=</v>
      </c>
      <c r="AB87" s="31">
        <f>352+421</f>
        <v>773</v>
      </c>
      <c r="AC87">
        <f t="shared" si="6"/>
        <v>386.5</v>
      </c>
      <c r="AF87">
        <v>5.9</v>
      </c>
      <c r="AG87" s="36">
        <v>2765</v>
      </c>
      <c r="AH87">
        <v>386.5</v>
      </c>
      <c r="AJ87" s="22"/>
    </row>
    <row r="88" spans="1:36" x14ac:dyDescent="0.2">
      <c r="A88" s="16" t="s">
        <v>1302</v>
      </c>
      <c r="B88" s="1" t="s">
        <v>1375</v>
      </c>
      <c r="C88" s="22" t="s">
        <v>529</v>
      </c>
      <c r="D88" s="22"/>
      <c r="E88">
        <v>92.65</v>
      </c>
      <c r="F88" s="23"/>
      <c r="G88" s="23"/>
      <c r="H88" s="23"/>
      <c r="I88">
        <v>0</v>
      </c>
      <c r="J88" s="22">
        <v>6.3</v>
      </c>
      <c r="K88" s="22">
        <v>0.15</v>
      </c>
      <c r="L88" s="22"/>
      <c r="M88" s="22">
        <f>(0.1+0.25)/2</f>
        <v>0.17499999999999999</v>
      </c>
      <c r="N88" s="23">
        <v>0.01</v>
      </c>
      <c r="O88" s="23">
        <v>0.30000000000000004</v>
      </c>
      <c r="P88" s="22"/>
      <c r="Q88" s="22"/>
      <c r="R88" s="22"/>
      <c r="S88" s="23">
        <v>0.1</v>
      </c>
      <c r="T88" s="22"/>
      <c r="U88" s="22">
        <v>6.0000000000000005E-2</v>
      </c>
      <c r="V88" s="23">
        <f>(0.05+0.15)/2</f>
        <v>0.1</v>
      </c>
      <c r="W88" s="22">
        <v>0.05</v>
      </c>
      <c r="X88" s="22"/>
      <c r="Y88" s="1">
        <f t="shared" si="4"/>
        <v>5.3482000000000009E-3</v>
      </c>
      <c r="Z88" s="31" t="str">
        <f t="shared" si="5"/>
        <v>=</v>
      </c>
      <c r="AB88" s="31">
        <f>248+274</f>
        <v>522</v>
      </c>
      <c r="AC88">
        <f t="shared" si="6"/>
        <v>261</v>
      </c>
      <c r="AF88">
        <v>5.9</v>
      </c>
      <c r="AG88" s="36">
        <v>2855</v>
      </c>
      <c r="AH88">
        <v>261</v>
      </c>
      <c r="AJ88" s="22"/>
    </row>
    <row r="89" spans="1:36" x14ac:dyDescent="0.2">
      <c r="A89" s="16" t="s">
        <v>1302</v>
      </c>
      <c r="B89" s="1" t="s">
        <v>1375</v>
      </c>
      <c r="C89" s="22" t="s">
        <v>669</v>
      </c>
      <c r="D89" s="22"/>
      <c r="E89">
        <v>92.65</v>
      </c>
      <c r="F89" s="23"/>
      <c r="G89" s="23"/>
      <c r="H89" s="23"/>
      <c r="I89">
        <v>0</v>
      </c>
      <c r="J89" s="22">
        <v>6.3</v>
      </c>
      <c r="K89" s="22">
        <v>0.15</v>
      </c>
      <c r="L89" s="22"/>
      <c r="M89" s="22">
        <f>(0.1+0.25)/2</f>
        <v>0.17499999999999999</v>
      </c>
      <c r="N89" s="23">
        <v>0.01</v>
      </c>
      <c r="O89" s="23">
        <v>0.30000000000000004</v>
      </c>
      <c r="P89" s="22"/>
      <c r="Q89" s="22"/>
      <c r="R89" s="22"/>
      <c r="S89" s="23">
        <v>0.1</v>
      </c>
      <c r="T89" s="22"/>
      <c r="U89" s="22">
        <v>6.0000000000000005E-2</v>
      </c>
      <c r="V89" s="23">
        <f t="shared" ref="V89:V93" si="7">(0.05+0.15)/2</f>
        <v>0.1</v>
      </c>
      <c r="W89" s="22">
        <v>0.05</v>
      </c>
      <c r="X89" s="22"/>
      <c r="Y89" s="1">
        <f t="shared" si="4"/>
        <v>5.3482000000000009E-3</v>
      </c>
      <c r="Z89" s="31" t="str">
        <f t="shared" si="5"/>
        <v>=</v>
      </c>
      <c r="AB89" s="31">
        <f>317+350</f>
        <v>667</v>
      </c>
      <c r="AC89">
        <f t="shared" si="6"/>
        <v>333.5</v>
      </c>
      <c r="AF89">
        <v>5.9</v>
      </c>
      <c r="AG89" s="36">
        <v>2855</v>
      </c>
      <c r="AH89">
        <v>333.5</v>
      </c>
      <c r="AJ89" s="22"/>
    </row>
    <row r="90" spans="1:36" x14ac:dyDescent="0.2">
      <c r="A90" s="16" t="s">
        <v>1302</v>
      </c>
      <c r="B90" s="1" t="s">
        <v>1375</v>
      </c>
      <c r="C90" s="22" t="s">
        <v>673</v>
      </c>
      <c r="D90" s="22"/>
      <c r="E90">
        <v>92.65</v>
      </c>
      <c r="F90" s="23"/>
      <c r="G90" s="23"/>
      <c r="H90" s="23"/>
      <c r="I90">
        <v>0</v>
      </c>
      <c r="J90" s="22">
        <v>6.3</v>
      </c>
      <c r="K90" s="22">
        <v>0.15</v>
      </c>
      <c r="L90" s="22"/>
      <c r="M90" s="22">
        <f>(0.1+0.25)/2</f>
        <v>0.17499999999999999</v>
      </c>
      <c r="N90" s="23">
        <v>0.01</v>
      </c>
      <c r="O90" s="23">
        <v>0.30000000000000004</v>
      </c>
      <c r="P90" s="22"/>
      <c r="Q90" s="22"/>
      <c r="R90" s="22"/>
      <c r="S90" s="23">
        <v>0.1</v>
      </c>
      <c r="T90" s="22"/>
      <c r="U90" s="22">
        <v>6.0000000000000005E-2</v>
      </c>
      <c r="V90" s="23">
        <f t="shared" si="7"/>
        <v>0.1</v>
      </c>
      <c r="W90" s="22">
        <v>0.05</v>
      </c>
      <c r="X90" s="22"/>
      <c r="Y90" s="1">
        <f t="shared" si="4"/>
        <v>5.3482000000000009E-3</v>
      </c>
      <c r="Z90" s="31" t="str">
        <f t="shared" si="5"/>
        <v>=</v>
      </c>
      <c r="AB90" s="31">
        <f>290+331</f>
        <v>621</v>
      </c>
      <c r="AC90">
        <f t="shared" si="6"/>
        <v>310.5</v>
      </c>
      <c r="AF90">
        <v>5.9</v>
      </c>
      <c r="AG90" s="36">
        <v>2855</v>
      </c>
      <c r="AH90">
        <v>310.5</v>
      </c>
      <c r="AJ90" s="22"/>
    </row>
    <row r="91" spans="1:36" x14ac:dyDescent="0.2">
      <c r="A91" s="16" t="s">
        <v>1302</v>
      </c>
      <c r="B91" s="1" t="s">
        <v>1375</v>
      </c>
      <c r="C91" s="22" t="s">
        <v>764</v>
      </c>
      <c r="D91" s="22"/>
      <c r="E91">
        <v>92.65</v>
      </c>
      <c r="F91" s="23"/>
      <c r="G91" s="23"/>
      <c r="H91" s="23"/>
      <c r="I91">
        <v>0</v>
      </c>
      <c r="J91" s="22">
        <v>6.3</v>
      </c>
      <c r="K91" s="22">
        <v>0.15</v>
      </c>
      <c r="L91" s="22"/>
      <c r="M91" s="22">
        <f>(0.1+0.25)/2</f>
        <v>0.17499999999999999</v>
      </c>
      <c r="N91" s="23">
        <v>0.01</v>
      </c>
      <c r="O91" s="23">
        <v>0.30000000000000004</v>
      </c>
      <c r="P91" s="22"/>
      <c r="Q91" s="22"/>
      <c r="R91" s="22"/>
      <c r="S91" s="23">
        <v>0.1</v>
      </c>
      <c r="T91" s="22"/>
      <c r="U91" s="22">
        <v>6.0000000000000005E-2</v>
      </c>
      <c r="V91" s="23">
        <f t="shared" si="7"/>
        <v>0.1</v>
      </c>
      <c r="W91" s="22">
        <v>0.05</v>
      </c>
      <c r="X91" s="22"/>
      <c r="Y91" s="1">
        <f t="shared" si="4"/>
        <v>5.3482000000000009E-3</v>
      </c>
      <c r="Z91" s="31" t="str">
        <f t="shared" si="5"/>
        <v>=</v>
      </c>
      <c r="AB91" s="31">
        <f>269+297</f>
        <v>566</v>
      </c>
      <c r="AC91">
        <f t="shared" si="6"/>
        <v>283</v>
      </c>
      <c r="AF91">
        <v>5.9</v>
      </c>
      <c r="AG91" s="36">
        <v>2855</v>
      </c>
      <c r="AH91">
        <v>283</v>
      </c>
      <c r="AJ91" s="22"/>
    </row>
    <row r="92" spans="1:36" x14ac:dyDescent="0.2">
      <c r="A92" s="16" t="s">
        <v>1302</v>
      </c>
      <c r="B92" s="1" t="s">
        <v>1375</v>
      </c>
      <c r="C92" s="22" t="s">
        <v>768</v>
      </c>
      <c r="D92" s="22"/>
      <c r="E92">
        <v>92.65</v>
      </c>
      <c r="F92" s="23"/>
      <c r="G92" s="23"/>
      <c r="H92" s="23"/>
      <c r="I92">
        <v>0</v>
      </c>
      <c r="J92" s="22">
        <v>6.3</v>
      </c>
      <c r="K92" s="22">
        <v>0.15</v>
      </c>
      <c r="L92" s="22"/>
      <c r="M92" s="22" t="s">
        <v>1834</v>
      </c>
      <c r="N92" s="23">
        <v>0.01</v>
      </c>
      <c r="O92" s="23">
        <v>0.30000000000000004</v>
      </c>
      <c r="P92" s="22"/>
      <c r="Q92" s="22"/>
      <c r="R92" s="22"/>
      <c r="S92" s="23">
        <v>0.1</v>
      </c>
      <c r="T92" s="22"/>
      <c r="U92" s="22">
        <v>6.0000000000000005E-2</v>
      </c>
      <c r="V92" s="23">
        <f t="shared" si="7"/>
        <v>0.1</v>
      </c>
      <c r="W92" s="22">
        <v>0.05</v>
      </c>
      <c r="X92" s="22"/>
      <c r="Y92" s="1">
        <f t="shared" si="4"/>
        <v>5.3482000000000009E-3</v>
      </c>
      <c r="Z92" s="31" t="str">
        <f t="shared" si="5"/>
        <v>=</v>
      </c>
      <c r="AB92" s="31">
        <f>255+345</f>
        <v>600</v>
      </c>
      <c r="AC92">
        <f t="shared" si="6"/>
        <v>300</v>
      </c>
      <c r="AF92">
        <v>5.9</v>
      </c>
      <c r="AG92" s="36">
        <v>2855</v>
      </c>
      <c r="AH92">
        <v>300</v>
      </c>
      <c r="AJ92" s="22"/>
    </row>
    <row r="93" spans="1:36" x14ac:dyDescent="0.2">
      <c r="A93" s="16" t="s">
        <v>1302</v>
      </c>
      <c r="B93" s="1" t="s">
        <v>1375</v>
      </c>
      <c r="C93" s="22" t="s">
        <v>774</v>
      </c>
      <c r="D93" s="22"/>
      <c r="E93">
        <v>92.65</v>
      </c>
      <c r="F93" s="23"/>
      <c r="G93" s="23"/>
      <c r="H93" s="23"/>
      <c r="I93">
        <v>0</v>
      </c>
      <c r="J93" s="22">
        <v>6.3</v>
      </c>
      <c r="K93" s="22">
        <v>0.15</v>
      </c>
      <c r="L93" s="22"/>
      <c r="M93" s="22">
        <f>(0.1+0.25)/2</f>
        <v>0.17499999999999999</v>
      </c>
      <c r="N93" s="23">
        <v>0.01</v>
      </c>
      <c r="O93" s="23">
        <v>0.30000000000000004</v>
      </c>
      <c r="P93" s="22"/>
      <c r="Q93" s="22"/>
      <c r="R93" s="22"/>
      <c r="S93" s="23">
        <v>0.1</v>
      </c>
      <c r="T93" s="22"/>
      <c r="U93" s="22">
        <v>6.0000000000000005E-2</v>
      </c>
      <c r="V93" s="23">
        <f t="shared" si="7"/>
        <v>0.1</v>
      </c>
      <c r="W93" s="22">
        <v>0.05</v>
      </c>
      <c r="X93" s="22"/>
      <c r="Y93" s="1">
        <f t="shared" si="4"/>
        <v>5.3482000000000009E-3</v>
      </c>
      <c r="Z93" s="31" t="str">
        <f t="shared" si="5"/>
        <v>=</v>
      </c>
      <c r="AB93" s="31">
        <f>331+366</f>
        <v>697</v>
      </c>
      <c r="AC93">
        <f t="shared" si="6"/>
        <v>348.5</v>
      </c>
      <c r="AF93">
        <v>5.9</v>
      </c>
      <c r="AG93" s="36">
        <v>2855</v>
      </c>
      <c r="AH93">
        <v>348.5</v>
      </c>
      <c r="AJ93" s="22"/>
    </row>
    <row r="94" spans="1:36" x14ac:dyDescent="0.2">
      <c r="A94" s="16" t="s">
        <v>1303</v>
      </c>
      <c r="B94" s="1" t="s">
        <v>1376</v>
      </c>
      <c r="C94" s="22" t="s">
        <v>632</v>
      </c>
      <c r="D94" s="22"/>
      <c r="E94">
        <v>93.35</v>
      </c>
      <c r="F94" s="23"/>
      <c r="G94" s="23"/>
      <c r="H94" s="23"/>
      <c r="I94">
        <v>0.05</v>
      </c>
      <c r="J94" s="22">
        <v>6.4</v>
      </c>
      <c r="K94" s="22">
        <v>7.4999999999999997E-2</v>
      </c>
      <c r="L94" s="22"/>
      <c r="M94" s="22"/>
      <c r="N94" s="23">
        <v>1.5</v>
      </c>
      <c r="O94" s="23">
        <v>0.6</v>
      </c>
      <c r="P94" s="22"/>
      <c r="Q94" s="22"/>
      <c r="R94" s="22"/>
      <c r="S94" s="23">
        <v>0.06</v>
      </c>
      <c r="T94" s="22"/>
      <c r="U94" s="22">
        <v>7.4999999999999997E-2</v>
      </c>
      <c r="V94" s="23"/>
      <c r="W94" s="22">
        <v>0.125</v>
      </c>
      <c r="X94" s="22"/>
      <c r="Y94" s="1">
        <f t="shared" si="4"/>
        <v>6.4061499999999993E-2</v>
      </c>
      <c r="Z94" s="31" t="str">
        <f t="shared" si="5"/>
        <v>=</v>
      </c>
      <c r="AB94" s="31">
        <f>344+381</f>
        <v>725</v>
      </c>
      <c r="AC94">
        <f t="shared" si="6"/>
        <v>362.5</v>
      </c>
      <c r="AF94">
        <v>5.9</v>
      </c>
      <c r="AG94" s="36">
        <v>2770</v>
      </c>
      <c r="AH94">
        <v>362.5</v>
      </c>
      <c r="AJ94" s="22"/>
    </row>
    <row r="95" spans="1:36" x14ac:dyDescent="0.2">
      <c r="A95" s="16" t="s">
        <v>1304</v>
      </c>
      <c r="B95" s="1" t="s">
        <v>1377</v>
      </c>
      <c r="C95" s="22" t="s">
        <v>774</v>
      </c>
      <c r="D95" s="22"/>
      <c r="E95">
        <v>95</v>
      </c>
      <c r="F95" s="23"/>
      <c r="G95" s="23"/>
      <c r="H95" s="23"/>
      <c r="I95">
        <v>0</v>
      </c>
      <c r="J95" s="22">
        <v>2.8</v>
      </c>
      <c r="K95" s="22">
        <v>5.5E-2</v>
      </c>
      <c r="L95" s="22"/>
      <c r="M95" s="22">
        <f>(1.1+1.7)/2</f>
        <v>1.4</v>
      </c>
      <c r="N95" s="23">
        <v>0.125</v>
      </c>
      <c r="O95" s="23">
        <v>0.3</v>
      </c>
      <c r="P95" s="22"/>
      <c r="Q95" s="22"/>
      <c r="R95" s="22"/>
      <c r="S95" s="23">
        <v>0.05</v>
      </c>
      <c r="T95" s="22"/>
      <c r="U95" s="22">
        <v>0.06</v>
      </c>
      <c r="V95" s="23"/>
      <c r="W95" s="22">
        <v>2.5000000000000001E-2</v>
      </c>
      <c r="X95" s="22">
        <f>(0.08+0.15)/2</f>
        <v>0.11499999999999999</v>
      </c>
      <c r="Y95" s="1">
        <f t="shared" si="4"/>
        <v>6.4899999999999992E-3</v>
      </c>
      <c r="Z95" s="31" t="str">
        <f t="shared" si="5"/>
        <v>=</v>
      </c>
      <c r="AB95" s="31">
        <f>361+417</f>
        <v>778</v>
      </c>
      <c r="AC95">
        <f t="shared" si="6"/>
        <v>389</v>
      </c>
      <c r="AF95">
        <v>5.9</v>
      </c>
      <c r="AG95" s="36">
        <v>2650</v>
      </c>
      <c r="AH95">
        <v>389</v>
      </c>
      <c r="AJ95" s="22"/>
    </row>
    <row r="96" spans="1:36" x14ac:dyDescent="0.2">
      <c r="A96" s="16" t="s">
        <v>1305</v>
      </c>
      <c r="B96" s="1" t="s">
        <v>1378</v>
      </c>
      <c r="C96" s="22" t="s">
        <v>621</v>
      </c>
      <c r="D96" s="22"/>
      <c r="E96">
        <v>93.7</v>
      </c>
      <c r="F96" s="23"/>
      <c r="G96" s="23"/>
      <c r="H96" s="23"/>
      <c r="I96">
        <v>0</v>
      </c>
      <c r="J96" s="22">
        <v>4.0999999999999996</v>
      </c>
      <c r="K96" s="22">
        <v>0.06</v>
      </c>
      <c r="L96" s="22"/>
      <c r="M96" s="22"/>
      <c r="N96" s="23">
        <v>1.4</v>
      </c>
      <c r="O96" s="23">
        <v>0.44999999999999996</v>
      </c>
      <c r="P96" s="22"/>
      <c r="Q96" s="22"/>
      <c r="R96" s="22"/>
      <c r="S96" s="23">
        <v>0.05</v>
      </c>
      <c r="T96" s="22"/>
      <c r="U96" s="22">
        <v>0.05</v>
      </c>
      <c r="V96" s="23"/>
      <c r="W96" s="22">
        <v>7.4999999999999997E-2</v>
      </c>
      <c r="X96" s="22"/>
      <c r="Y96" s="1">
        <f t="shared" si="4"/>
        <v>5.8535499999999997E-2</v>
      </c>
      <c r="Z96" s="31" t="str">
        <f t="shared" si="5"/>
        <v>=</v>
      </c>
      <c r="AB96" s="31">
        <f>270+332</f>
        <v>602</v>
      </c>
      <c r="AC96">
        <f t="shared" si="6"/>
        <v>301</v>
      </c>
      <c r="AF96">
        <v>5.9</v>
      </c>
      <c r="AG96" s="36">
        <v>2790</v>
      </c>
      <c r="AH96">
        <v>301</v>
      </c>
      <c r="AJ96" s="22"/>
    </row>
    <row r="97" spans="1:36" x14ac:dyDescent="0.2">
      <c r="A97" s="16" t="s">
        <v>1306</v>
      </c>
      <c r="B97" s="1" t="s">
        <v>1379</v>
      </c>
      <c r="C97" s="22" t="s">
        <v>774</v>
      </c>
      <c r="D97" s="22"/>
      <c r="E97">
        <v>92.9</v>
      </c>
      <c r="F97" s="23"/>
      <c r="G97" s="23"/>
      <c r="H97" s="23"/>
      <c r="I97">
        <v>0</v>
      </c>
      <c r="J97" s="22">
        <v>5.85</v>
      </c>
      <c r="K97" s="22">
        <v>0.15</v>
      </c>
      <c r="L97" s="22"/>
      <c r="M97" s="22"/>
      <c r="N97" s="23">
        <v>0.22500000000000001</v>
      </c>
      <c r="O97" s="23">
        <v>0.3</v>
      </c>
      <c r="P97" s="22"/>
      <c r="Q97" s="22"/>
      <c r="R97" s="22"/>
      <c r="S97" s="23">
        <v>0.125</v>
      </c>
      <c r="T97" s="22"/>
      <c r="U97" s="22">
        <v>6.0000000000000005E-2</v>
      </c>
      <c r="V97" s="23">
        <f>(0.05+0.15)/2</f>
        <v>0.1</v>
      </c>
      <c r="W97" s="22">
        <v>0.05</v>
      </c>
      <c r="X97" s="22">
        <f>(0.1+0.25)/2</f>
        <v>0.17499999999999999</v>
      </c>
      <c r="Y97" s="1">
        <f t="shared" si="4"/>
        <v>1.481825E-2</v>
      </c>
      <c r="Z97" s="31" t="str">
        <f t="shared" si="5"/>
        <v>=</v>
      </c>
      <c r="AB97" s="31">
        <f>379+421</f>
        <v>800</v>
      </c>
      <c r="AC97">
        <f t="shared" si="6"/>
        <v>400</v>
      </c>
      <c r="AF97">
        <v>5.9</v>
      </c>
      <c r="AG97" s="36">
        <v>2825</v>
      </c>
      <c r="AH97">
        <v>400</v>
      </c>
      <c r="AJ97" s="22"/>
    </row>
    <row r="98" spans="1:36" x14ac:dyDescent="0.2">
      <c r="A98" s="16" t="s">
        <v>1307</v>
      </c>
      <c r="B98" s="1" t="s">
        <v>1381</v>
      </c>
      <c r="C98" s="22" t="s">
        <v>621</v>
      </c>
      <c r="D98" s="22"/>
      <c r="E98">
        <v>93.5</v>
      </c>
      <c r="F98" s="23"/>
      <c r="G98" s="23"/>
      <c r="H98" s="23"/>
      <c r="I98">
        <v>2.5000000000000001E-2</v>
      </c>
      <c r="J98" s="22">
        <v>4.25</v>
      </c>
      <c r="K98" s="22">
        <v>0.06</v>
      </c>
      <c r="L98" s="22"/>
      <c r="M98" s="22"/>
      <c r="N98" s="23">
        <v>1.4</v>
      </c>
      <c r="O98" s="23">
        <v>0.57499999999999996</v>
      </c>
      <c r="P98" s="22"/>
      <c r="Q98" s="22"/>
      <c r="R98" s="22"/>
      <c r="S98" s="23">
        <v>0.03</v>
      </c>
      <c r="T98" s="22"/>
      <c r="U98" s="22">
        <v>0.05</v>
      </c>
      <c r="V98" s="23"/>
      <c r="W98" s="22">
        <v>7.4999999999999997E-2</v>
      </c>
      <c r="X98" s="22"/>
      <c r="Y98" s="1">
        <f t="shared" si="4"/>
        <v>5.8563749999999998E-2</v>
      </c>
      <c r="Z98" s="31" t="str">
        <f t="shared" si="5"/>
        <v>=</v>
      </c>
      <c r="AB98" s="31">
        <f>269+324</f>
        <v>593</v>
      </c>
      <c r="AC98">
        <f t="shared" si="6"/>
        <v>296.5</v>
      </c>
      <c r="AF98">
        <v>5.9</v>
      </c>
      <c r="AG98" s="36">
        <v>2765</v>
      </c>
      <c r="AH98">
        <v>296.5</v>
      </c>
      <c r="AJ98" s="22"/>
    </row>
    <row r="99" spans="1:36" x14ac:dyDescent="0.2">
      <c r="A99" s="16" t="s">
        <v>1353</v>
      </c>
      <c r="B99" s="1" t="s">
        <v>1380</v>
      </c>
      <c r="C99" s="22" t="s">
        <v>826</v>
      </c>
      <c r="D99" s="22"/>
      <c r="E99">
        <v>93.65</v>
      </c>
      <c r="F99" s="23"/>
      <c r="G99" s="23"/>
      <c r="H99" s="23"/>
      <c r="I99">
        <v>0</v>
      </c>
      <c r="J99" s="22">
        <v>2.2999999999999998</v>
      </c>
      <c r="K99" s="22">
        <v>1.1000000000000001</v>
      </c>
      <c r="L99" s="22"/>
      <c r="M99" s="22"/>
      <c r="N99" s="23">
        <v>1.55</v>
      </c>
      <c r="O99" s="23"/>
      <c r="P99" s="22">
        <v>1.05</v>
      </c>
      <c r="Q99" s="22"/>
      <c r="R99" s="22"/>
      <c r="S99" s="23">
        <v>0.17499999999999999</v>
      </c>
      <c r="T99" s="22"/>
      <c r="U99" s="22">
        <v>7.0000000000000007E-2</v>
      </c>
      <c r="V99" s="23"/>
      <c r="W99" s="22">
        <v>0.05</v>
      </c>
      <c r="X99" s="22"/>
      <c r="Y99" s="1">
        <f t="shared" si="4"/>
        <v>6.812725E-2</v>
      </c>
      <c r="Z99" s="31" t="str">
        <f t="shared" si="5"/>
        <v>=</v>
      </c>
      <c r="AB99" s="31">
        <f>266+294</f>
        <v>560</v>
      </c>
      <c r="AC99">
        <f t="shared" si="6"/>
        <v>280</v>
      </c>
      <c r="AF99">
        <v>5.9</v>
      </c>
      <c r="AG99" s="36">
        <v>2750</v>
      </c>
      <c r="AH99">
        <v>280</v>
      </c>
      <c r="AJ99" s="22"/>
    </row>
    <row r="100" spans="1:36" x14ac:dyDescent="0.2">
      <c r="A100" s="16" t="s">
        <v>1353</v>
      </c>
      <c r="B100" s="1" t="s">
        <v>1382</v>
      </c>
      <c r="C100" s="22" t="s">
        <v>294</v>
      </c>
      <c r="D100" s="22"/>
      <c r="E100">
        <v>93.65</v>
      </c>
      <c r="F100" s="23"/>
      <c r="G100" s="23"/>
      <c r="H100" s="23"/>
      <c r="I100">
        <v>0</v>
      </c>
      <c r="J100" s="22">
        <v>2.2999999999999998</v>
      </c>
      <c r="K100" s="22">
        <v>1.1000000000000001</v>
      </c>
      <c r="L100" s="22"/>
      <c r="M100" s="22"/>
      <c r="N100" s="23">
        <v>1.55</v>
      </c>
      <c r="O100" s="23"/>
      <c r="P100" s="22">
        <v>1.05</v>
      </c>
      <c r="Q100" s="22"/>
      <c r="R100" s="22"/>
      <c r="S100" s="23">
        <v>0.17499999999999999</v>
      </c>
      <c r="T100" s="22"/>
      <c r="U100" s="22">
        <v>7.0000000000000007E-2</v>
      </c>
      <c r="V100" s="23"/>
      <c r="W100" s="22">
        <v>0.05</v>
      </c>
      <c r="X100" s="22"/>
      <c r="Y100" s="1">
        <f t="shared" si="4"/>
        <v>6.812725E-2</v>
      </c>
      <c r="Z100" s="31" t="str">
        <f t="shared" si="5"/>
        <v>=</v>
      </c>
      <c r="AB100" s="31">
        <f>320+380</f>
        <v>700</v>
      </c>
      <c r="AC100">
        <f t="shared" si="6"/>
        <v>350</v>
      </c>
      <c r="AF100">
        <v>5.9</v>
      </c>
      <c r="AG100" s="36">
        <v>2750</v>
      </c>
      <c r="AH100">
        <v>350</v>
      </c>
      <c r="AJ100" s="22"/>
    </row>
    <row r="101" spans="1:36" x14ac:dyDescent="0.2">
      <c r="A101" s="16" t="s">
        <v>1353</v>
      </c>
      <c r="B101" s="1" t="s">
        <v>1382</v>
      </c>
      <c r="C101" s="22" t="s">
        <v>846</v>
      </c>
      <c r="D101" s="22"/>
      <c r="E101">
        <v>93.65</v>
      </c>
      <c r="F101" s="23"/>
      <c r="G101" s="23"/>
      <c r="H101" s="23"/>
      <c r="I101">
        <v>0</v>
      </c>
      <c r="J101" s="22">
        <v>2.2999999999999998</v>
      </c>
      <c r="K101" s="22">
        <v>1.1000000000000001</v>
      </c>
      <c r="L101" s="22"/>
      <c r="M101" s="22"/>
      <c r="N101" s="23">
        <v>1.55</v>
      </c>
      <c r="O101" s="23"/>
      <c r="P101" s="22">
        <v>1.05</v>
      </c>
      <c r="Q101" s="22"/>
      <c r="R101" s="22"/>
      <c r="S101" s="23">
        <v>0.17499999999999999</v>
      </c>
      <c r="T101" s="22"/>
      <c r="U101" s="22">
        <v>7.0000000000000007E-2</v>
      </c>
      <c r="V101" s="23"/>
      <c r="W101" s="22">
        <v>0.05</v>
      </c>
      <c r="X101" s="22"/>
      <c r="Y101" s="1">
        <f t="shared" si="4"/>
        <v>6.812725E-2</v>
      </c>
      <c r="Z101" s="31" t="str">
        <f t="shared" si="5"/>
        <v>=</v>
      </c>
      <c r="AB101" s="31">
        <f>320+380</f>
        <v>700</v>
      </c>
      <c r="AC101">
        <f t="shared" si="6"/>
        <v>350</v>
      </c>
      <c r="AF101">
        <v>5.9</v>
      </c>
      <c r="AG101" s="36">
        <v>2750</v>
      </c>
      <c r="AH101">
        <v>350</v>
      </c>
      <c r="AJ101" s="22"/>
    </row>
    <row r="102" spans="1:36" x14ac:dyDescent="0.2">
      <c r="A102" s="16" t="s">
        <v>1308</v>
      </c>
      <c r="B102" s="1" t="s">
        <v>1383</v>
      </c>
      <c r="C102" s="22" t="s">
        <v>847</v>
      </c>
      <c r="D102" s="22"/>
      <c r="E102">
        <v>96.9</v>
      </c>
      <c r="F102" s="23"/>
      <c r="G102" s="23"/>
      <c r="H102" s="23"/>
      <c r="I102">
        <v>0</v>
      </c>
      <c r="J102" s="22">
        <v>0.125</v>
      </c>
      <c r="K102" s="22">
        <v>0.35</v>
      </c>
      <c r="L102" s="22"/>
      <c r="M102" s="22"/>
      <c r="N102" s="23">
        <v>1.05</v>
      </c>
      <c r="O102" s="23">
        <v>1.25</v>
      </c>
      <c r="P102" s="22"/>
      <c r="Q102" s="22"/>
      <c r="R102" s="22"/>
      <c r="S102" s="23">
        <v>0.15</v>
      </c>
      <c r="T102" s="22"/>
      <c r="U102" s="22"/>
      <c r="V102" s="23"/>
      <c r="W102" s="22">
        <v>0.125</v>
      </c>
      <c r="X102" s="24"/>
      <c r="Y102" s="1">
        <f t="shared" si="4"/>
        <v>4.7023500000000003E-2</v>
      </c>
      <c r="Z102" s="31" t="str">
        <f t="shared" si="5"/>
        <v>=</v>
      </c>
      <c r="AB102" s="31">
        <f>55.7+61.5</f>
        <v>117.2</v>
      </c>
      <c r="AC102">
        <f t="shared" si="6"/>
        <v>58.6</v>
      </c>
      <c r="AF102">
        <v>5.9</v>
      </c>
      <c r="AG102" s="36">
        <v>2710</v>
      </c>
      <c r="AH102">
        <v>58.6</v>
      </c>
      <c r="AJ102" s="22"/>
    </row>
    <row r="103" spans="1:36" x14ac:dyDescent="0.2">
      <c r="A103" s="16" t="s">
        <v>1308</v>
      </c>
      <c r="B103" s="1" t="s">
        <v>1384</v>
      </c>
      <c r="C103" s="22" t="s">
        <v>467</v>
      </c>
      <c r="D103" s="22"/>
      <c r="E103">
        <v>96.9</v>
      </c>
      <c r="F103" s="23"/>
      <c r="G103" s="23"/>
      <c r="H103" s="23"/>
      <c r="I103">
        <v>0</v>
      </c>
      <c r="J103" s="22">
        <v>0.125</v>
      </c>
      <c r="K103" s="22">
        <v>0.35</v>
      </c>
      <c r="L103" s="22"/>
      <c r="M103" s="22"/>
      <c r="N103" s="23">
        <v>1.05</v>
      </c>
      <c r="O103" s="23">
        <v>1.25</v>
      </c>
      <c r="P103" s="22"/>
      <c r="Q103" s="22"/>
      <c r="R103" s="22"/>
      <c r="S103" s="23">
        <v>0.15</v>
      </c>
      <c r="T103" s="22"/>
      <c r="U103" s="22"/>
      <c r="V103" s="23"/>
      <c r="W103" s="22">
        <v>0.125</v>
      </c>
      <c r="X103" s="24"/>
      <c r="Y103" s="1">
        <f t="shared" si="4"/>
        <v>4.7023500000000003E-2</v>
      </c>
      <c r="Z103" s="31" t="str">
        <f t="shared" si="5"/>
        <v>=</v>
      </c>
      <c r="AB103" s="31">
        <f>250+262</f>
        <v>512</v>
      </c>
      <c r="AC103">
        <f t="shared" si="6"/>
        <v>256</v>
      </c>
      <c r="AF103">
        <v>5.9</v>
      </c>
      <c r="AG103" s="36">
        <v>2720</v>
      </c>
      <c r="AH103">
        <v>256</v>
      </c>
      <c r="AJ103" s="22"/>
    </row>
    <row r="104" spans="1:36" x14ac:dyDescent="0.2">
      <c r="A104" s="16" t="s">
        <v>1308</v>
      </c>
      <c r="B104" s="1" t="s">
        <v>1383</v>
      </c>
      <c r="C104" s="22" t="s">
        <v>856</v>
      </c>
      <c r="D104" s="22"/>
      <c r="E104">
        <v>96.9</v>
      </c>
      <c r="F104" s="23"/>
      <c r="G104" s="23"/>
      <c r="H104" s="23"/>
      <c r="I104">
        <v>0</v>
      </c>
      <c r="J104" s="22">
        <v>0.125</v>
      </c>
      <c r="K104" s="22">
        <v>0.35</v>
      </c>
      <c r="L104" s="22"/>
      <c r="M104" s="22"/>
      <c r="N104" s="23">
        <v>1.05</v>
      </c>
      <c r="O104" s="23">
        <v>1.25</v>
      </c>
      <c r="P104" s="22"/>
      <c r="Q104" s="22"/>
      <c r="R104" s="22"/>
      <c r="S104" s="23">
        <v>0.15</v>
      </c>
      <c r="T104" s="22"/>
      <c r="U104" s="22"/>
      <c r="V104" s="23"/>
      <c r="W104" s="22">
        <v>0.125</v>
      </c>
      <c r="X104" s="24"/>
      <c r="Y104" s="1">
        <f t="shared" si="4"/>
        <v>4.7023500000000003E-2</v>
      </c>
      <c r="Z104" s="31" t="str">
        <f t="shared" si="5"/>
        <v>=</v>
      </c>
      <c r="AB104" s="31">
        <f>150+165</f>
        <v>315</v>
      </c>
      <c r="AC104">
        <f t="shared" si="6"/>
        <v>157.5</v>
      </c>
      <c r="AF104">
        <v>5.9</v>
      </c>
      <c r="AG104" s="36">
        <v>2710</v>
      </c>
      <c r="AH104">
        <v>157.5</v>
      </c>
      <c r="AJ104" s="22"/>
    </row>
    <row r="105" spans="1:36" x14ac:dyDescent="0.2">
      <c r="A105" s="16" t="s">
        <v>1308</v>
      </c>
      <c r="B105" s="1" t="s">
        <v>1383</v>
      </c>
      <c r="C105" s="22" t="s">
        <v>857</v>
      </c>
      <c r="D105" s="22"/>
      <c r="E105">
        <v>96.9</v>
      </c>
      <c r="F105" s="23"/>
      <c r="G105" s="23"/>
      <c r="H105" s="23"/>
      <c r="I105">
        <v>0</v>
      </c>
      <c r="J105" s="22">
        <v>0.125</v>
      </c>
      <c r="K105" s="22">
        <v>0.35</v>
      </c>
      <c r="L105" s="22"/>
      <c r="M105" s="22"/>
      <c r="N105" s="23">
        <v>1.05</v>
      </c>
      <c r="O105" s="23">
        <v>1.25</v>
      </c>
      <c r="P105" s="22"/>
      <c r="Q105" s="22"/>
      <c r="R105" s="22"/>
      <c r="S105" s="23">
        <v>0.15</v>
      </c>
      <c r="T105" s="22"/>
      <c r="U105" s="22"/>
      <c r="V105" s="23"/>
      <c r="W105" s="22">
        <v>0.125</v>
      </c>
      <c r="X105" s="24"/>
      <c r="Y105" s="1">
        <f t="shared" si="4"/>
        <v>4.7023500000000003E-2</v>
      </c>
      <c r="Z105" s="31" t="str">
        <f t="shared" si="5"/>
        <v>=</v>
      </c>
      <c r="AB105" s="31">
        <f>177+195</f>
        <v>372</v>
      </c>
      <c r="AC105">
        <f t="shared" si="6"/>
        <v>186</v>
      </c>
      <c r="AF105">
        <v>5.9</v>
      </c>
      <c r="AG105" s="36">
        <v>2720</v>
      </c>
      <c r="AH105">
        <v>186</v>
      </c>
      <c r="AJ105" s="22"/>
    </row>
    <row r="106" spans="1:36" x14ac:dyDescent="0.2">
      <c r="A106" s="16" t="s">
        <v>1308</v>
      </c>
      <c r="B106" s="1" t="s">
        <v>1383</v>
      </c>
      <c r="C106" s="22" t="s">
        <v>858</v>
      </c>
      <c r="D106" s="22"/>
      <c r="E106">
        <v>96.9</v>
      </c>
      <c r="F106" s="23"/>
      <c r="G106" s="23"/>
      <c r="H106" s="23"/>
      <c r="I106">
        <v>0</v>
      </c>
      <c r="J106" s="22">
        <v>0.125</v>
      </c>
      <c r="K106" s="22">
        <v>0.35</v>
      </c>
      <c r="L106" s="22"/>
      <c r="M106" s="22"/>
      <c r="N106" s="23">
        <v>1.05</v>
      </c>
      <c r="O106" s="23">
        <v>1.25</v>
      </c>
      <c r="P106" s="22"/>
      <c r="Q106" s="22"/>
      <c r="R106" s="22"/>
      <c r="S106" s="23">
        <v>0.15</v>
      </c>
      <c r="T106" s="22"/>
      <c r="U106" s="22"/>
      <c r="V106" s="23"/>
      <c r="W106" s="22">
        <v>0.125</v>
      </c>
      <c r="X106" s="24"/>
      <c r="Y106" s="1">
        <f t="shared" si="4"/>
        <v>4.7023500000000003E-2</v>
      </c>
      <c r="Z106" s="31" t="str">
        <f t="shared" si="5"/>
        <v>=</v>
      </c>
      <c r="AB106" s="31">
        <f>219+242</f>
        <v>461</v>
      </c>
      <c r="AC106">
        <f t="shared" si="6"/>
        <v>230.5</v>
      </c>
      <c r="AF106">
        <v>5.9</v>
      </c>
      <c r="AG106" s="36">
        <v>2720</v>
      </c>
      <c r="AH106">
        <v>230.5</v>
      </c>
      <c r="AJ106" s="22"/>
    </row>
    <row r="107" spans="1:36" x14ac:dyDescent="0.2">
      <c r="A107" s="16" t="s">
        <v>1308</v>
      </c>
      <c r="B107" s="1" t="s">
        <v>1383</v>
      </c>
      <c r="C107" s="22" t="s">
        <v>859</v>
      </c>
      <c r="D107" s="22"/>
      <c r="E107">
        <v>96.9</v>
      </c>
      <c r="F107" s="23"/>
      <c r="G107" s="23"/>
      <c r="H107" s="23"/>
      <c r="I107">
        <v>0</v>
      </c>
      <c r="J107" s="22">
        <v>0.125</v>
      </c>
      <c r="K107" s="22">
        <v>0.35</v>
      </c>
      <c r="L107" s="22"/>
      <c r="M107" s="22"/>
      <c r="N107" s="23">
        <v>1.05</v>
      </c>
      <c r="O107" s="23">
        <v>1.25</v>
      </c>
      <c r="P107" s="22"/>
      <c r="Q107" s="22"/>
      <c r="R107" s="22"/>
      <c r="S107" s="23">
        <v>0.15</v>
      </c>
      <c r="T107" s="22"/>
      <c r="U107" s="22"/>
      <c r="V107" s="23"/>
      <c r="W107" s="22">
        <v>0.125</v>
      </c>
      <c r="X107" s="24"/>
      <c r="Y107" s="1">
        <f t="shared" si="4"/>
        <v>4.7023500000000003E-2</v>
      </c>
      <c r="Z107" s="31" t="str">
        <f t="shared" si="5"/>
        <v>=</v>
      </c>
      <c r="AB107" s="31">
        <f>238+263</f>
        <v>501</v>
      </c>
      <c r="AC107">
        <f t="shared" si="6"/>
        <v>250.5</v>
      </c>
      <c r="AF107">
        <v>5.9</v>
      </c>
      <c r="AG107" s="36">
        <v>2710</v>
      </c>
      <c r="AH107">
        <v>250.5</v>
      </c>
      <c r="AJ107" s="22"/>
    </row>
    <row r="108" spans="1:36" x14ac:dyDescent="0.2">
      <c r="A108" s="16" t="s">
        <v>1308</v>
      </c>
      <c r="B108" s="1" t="s">
        <v>1383</v>
      </c>
      <c r="C108" s="22" t="s">
        <v>481</v>
      </c>
      <c r="D108" s="22"/>
      <c r="E108">
        <v>96.9</v>
      </c>
      <c r="F108" s="23"/>
      <c r="G108" s="23"/>
      <c r="H108" s="23"/>
      <c r="I108">
        <v>0</v>
      </c>
      <c r="J108" s="22">
        <v>0.125</v>
      </c>
      <c r="K108" s="22">
        <v>0.35</v>
      </c>
      <c r="L108" s="22"/>
      <c r="M108" s="22"/>
      <c r="N108" s="23">
        <v>1.05</v>
      </c>
      <c r="O108" s="23">
        <v>1.25</v>
      </c>
      <c r="P108" s="22"/>
      <c r="Q108" s="22"/>
      <c r="R108" s="22"/>
      <c r="S108" s="23">
        <v>0.15</v>
      </c>
      <c r="T108" s="22"/>
      <c r="U108" s="22"/>
      <c r="V108" s="23"/>
      <c r="W108" s="22">
        <v>0.125</v>
      </c>
      <c r="X108" s="24"/>
      <c r="Y108" s="1">
        <f t="shared" si="4"/>
        <v>4.7023500000000003E-2</v>
      </c>
      <c r="Z108" s="31" t="str">
        <f t="shared" si="5"/>
        <v>=</v>
      </c>
      <c r="AB108" s="31">
        <f>59+65.2</f>
        <v>124.2</v>
      </c>
      <c r="AC108">
        <f t="shared" si="6"/>
        <v>62.1</v>
      </c>
      <c r="AF108">
        <v>5.9</v>
      </c>
      <c r="AG108" s="36">
        <v>2710</v>
      </c>
      <c r="AH108">
        <v>62.1</v>
      </c>
      <c r="AJ108" s="22"/>
    </row>
    <row r="109" spans="1:36" x14ac:dyDescent="0.2">
      <c r="A109" s="16" t="s">
        <v>1309</v>
      </c>
      <c r="B109" s="1" t="s">
        <v>1385</v>
      </c>
      <c r="C109" s="22" t="s">
        <v>502</v>
      </c>
      <c r="D109" s="22"/>
      <c r="E109">
        <v>97.75</v>
      </c>
      <c r="F109" s="23"/>
      <c r="G109" s="23"/>
      <c r="H109" s="23"/>
      <c r="I109">
        <v>0.05</v>
      </c>
      <c r="J109" s="22">
        <v>0.05</v>
      </c>
      <c r="K109" s="22">
        <v>0.35</v>
      </c>
      <c r="L109" s="22"/>
      <c r="M109" s="22"/>
      <c r="N109" s="23">
        <v>0.15</v>
      </c>
      <c r="O109" s="23">
        <v>1.2</v>
      </c>
      <c r="P109" s="22"/>
      <c r="Q109" s="22"/>
      <c r="R109" s="22"/>
      <c r="S109" s="23">
        <v>0.25</v>
      </c>
      <c r="T109" s="22"/>
      <c r="U109" s="22"/>
      <c r="V109" s="23"/>
      <c r="W109" s="22">
        <v>0.1</v>
      </c>
      <c r="X109" s="22"/>
      <c r="Y109" s="1">
        <f t="shared" si="4"/>
        <v>1.4227E-2</v>
      </c>
      <c r="Z109" s="31" t="str">
        <f t="shared" si="5"/>
        <v>=</v>
      </c>
      <c r="AB109" s="31">
        <f>133+147</f>
        <v>280</v>
      </c>
      <c r="AC109">
        <f t="shared" si="6"/>
        <v>140</v>
      </c>
      <c r="AF109">
        <v>5.9</v>
      </c>
      <c r="AG109" s="36">
        <v>2730</v>
      </c>
      <c r="AH109">
        <v>140</v>
      </c>
      <c r="AJ109" s="22"/>
    </row>
    <row r="110" spans="1:36" x14ac:dyDescent="0.2">
      <c r="A110" s="16" t="s">
        <v>1354</v>
      </c>
      <c r="B110" s="1" t="s">
        <v>1386</v>
      </c>
      <c r="C110" s="22" t="s">
        <v>893</v>
      </c>
      <c r="D110" s="22"/>
      <c r="E110">
        <v>97.75</v>
      </c>
      <c r="F110" s="23"/>
      <c r="G110" s="23"/>
      <c r="H110" s="23"/>
      <c r="I110">
        <v>0.05</v>
      </c>
      <c r="J110" s="22">
        <v>0.05</v>
      </c>
      <c r="K110" s="22">
        <v>0.35</v>
      </c>
      <c r="L110" s="22"/>
      <c r="M110" s="22"/>
      <c r="N110" s="23">
        <v>0.15</v>
      </c>
      <c r="O110" s="23">
        <v>1.2</v>
      </c>
      <c r="P110" s="22"/>
      <c r="Q110" s="22"/>
      <c r="R110" s="22"/>
      <c r="S110" s="23">
        <v>0.25</v>
      </c>
      <c r="T110" s="22"/>
      <c r="U110" s="22"/>
      <c r="V110" s="23"/>
      <c r="W110" s="22">
        <v>0.1</v>
      </c>
      <c r="X110" s="22"/>
      <c r="Y110" s="1">
        <f t="shared" si="4"/>
        <v>1.4227E-2</v>
      </c>
      <c r="Z110" s="31" t="str">
        <f t="shared" si="5"/>
        <v>=</v>
      </c>
      <c r="AB110" s="31">
        <f>171+189</f>
        <v>360</v>
      </c>
      <c r="AC110">
        <f t="shared" si="6"/>
        <v>180</v>
      </c>
      <c r="AF110">
        <v>5.9</v>
      </c>
      <c r="AG110" s="36">
        <v>2730</v>
      </c>
      <c r="AH110">
        <v>180</v>
      </c>
      <c r="AJ110" s="22"/>
    </row>
    <row r="111" spans="1:36" x14ac:dyDescent="0.2">
      <c r="A111" s="16" t="s">
        <v>1309</v>
      </c>
      <c r="B111" s="1" t="s">
        <v>1386</v>
      </c>
      <c r="C111" s="22" t="s">
        <v>481</v>
      </c>
      <c r="D111" s="22"/>
      <c r="E111">
        <v>97.75</v>
      </c>
      <c r="F111" s="23"/>
      <c r="G111" s="23"/>
      <c r="H111" s="23"/>
      <c r="I111">
        <v>0.05</v>
      </c>
      <c r="J111" s="22">
        <v>0.05</v>
      </c>
      <c r="K111" s="22">
        <v>0.35</v>
      </c>
      <c r="L111" s="22"/>
      <c r="M111" s="22"/>
      <c r="N111" s="23">
        <v>0.15</v>
      </c>
      <c r="O111" s="23">
        <v>1.2</v>
      </c>
      <c r="P111" s="22"/>
      <c r="Q111" s="22"/>
      <c r="R111" s="22"/>
      <c r="S111" s="23">
        <v>0.25</v>
      </c>
      <c r="T111" s="22"/>
      <c r="U111" s="22"/>
      <c r="V111" s="23"/>
      <c r="W111" s="22">
        <v>0.1</v>
      </c>
      <c r="X111" s="22"/>
      <c r="Y111" s="1">
        <f t="shared" si="4"/>
        <v>1.4227E-2</v>
      </c>
      <c r="Z111" s="31" t="str">
        <f t="shared" si="5"/>
        <v>=</v>
      </c>
      <c r="AB111" s="31">
        <f>43+47</f>
        <v>90</v>
      </c>
      <c r="AC111">
        <f t="shared" si="6"/>
        <v>45</v>
      </c>
      <c r="AF111">
        <v>5.9</v>
      </c>
      <c r="AG111" s="36">
        <v>2730</v>
      </c>
      <c r="AH111">
        <v>45</v>
      </c>
      <c r="AJ111" s="22"/>
    </row>
    <row r="112" spans="1:36" x14ac:dyDescent="0.2">
      <c r="A112" s="16" t="s">
        <v>1355</v>
      </c>
      <c r="B112" s="1" t="s">
        <v>1387</v>
      </c>
      <c r="C112" s="22" t="s">
        <v>502</v>
      </c>
      <c r="D112" s="22"/>
      <c r="E112">
        <v>97.75</v>
      </c>
      <c r="F112" s="23"/>
      <c r="G112" s="23"/>
      <c r="H112" s="23"/>
      <c r="I112">
        <v>0.1</v>
      </c>
      <c r="J112" s="22">
        <v>0.15</v>
      </c>
      <c r="K112" s="22">
        <v>0.35</v>
      </c>
      <c r="L112" s="22"/>
      <c r="M112" s="22"/>
      <c r="N112" s="23">
        <v>0.5</v>
      </c>
      <c r="O112" s="23">
        <v>0.55000000000000004</v>
      </c>
      <c r="P112" s="22"/>
      <c r="Q112" s="22"/>
      <c r="R112" s="22"/>
      <c r="S112" s="23">
        <v>0.3</v>
      </c>
      <c r="T112" s="22"/>
      <c r="U112" s="22">
        <v>0.05</v>
      </c>
      <c r="V112" s="23"/>
      <c r="W112" s="22">
        <v>0.2</v>
      </c>
      <c r="X112" s="22"/>
      <c r="Y112" s="1">
        <f t="shared" si="4"/>
        <v>3.1067999999999998E-2</v>
      </c>
      <c r="Z112" s="31" t="str">
        <f t="shared" si="5"/>
        <v>=</v>
      </c>
      <c r="AB112" s="31">
        <f>143+158</f>
        <v>301</v>
      </c>
      <c r="AC112">
        <f t="shared" si="6"/>
        <v>150.5</v>
      </c>
      <c r="AF112">
        <v>5.9</v>
      </c>
      <c r="AG112" s="36">
        <v>2700</v>
      </c>
      <c r="AH112">
        <v>150.5</v>
      </c>
      <c r="AJ112" s="22"/>
    </row>
    <row r="113" spans="1:36" x14ac:dyDescent="0.2">
      <c r="A113" s="16" t="s">
        <v>1355</v>
      </c>
      <c r="B113" s="1" t="s">
        <v>1387</v>
      </c>
      <c r="C113" s="22" t="s">
        <v>893</v>
      </c>
      <c r="D113" s="22"/>
      <c r="E113">
        <v>97.75</v>
      </c>
      <c r="F113" s="23"/>
      <c r="G113" s="23"/>
      <c r="H113" s="23"/>
      <c r="I113">
        <v>0.1</v>
      </c>
      <c r="J113" s="22">
        <v>0.15</v>
      </c>
      <c r="K113" s="22">
        <v>0.35</v>
      </c>
      <c r="L113" s="22"/>
      <c r="M113" s="22"/>
      <c r="N113" s="23">
        <v>0.5</v>
      </c>
      <c r="O113" s="23">
        <v>0.55000000000000004</v>
      </c>
      <c r="P113" s="22"/>
      <c r="Q113" s="22"/>
      <c r="R113" s="22"/>
      <c r="S113" s="23">
        <v>0.3</v>
      </c>
      <c r="T113" s="22"/>
      <c r="U113" s="22">
        <v>0.05</v>
      </c>
      <c r="V113" s="23"/>
      <c r="W113" s="22">
        <v>0.2</v>
      </c>
      <c r="X113" s="22"/>
      <c r="Y113" s="1">
        <f t="shared" si="4"/>
        <v>3.1067999999999998E-2</v>
      </c>
      <c r="Z113" s="31" t="str">
        <f t="shared" si="5"/>
        <v>=</v>
      </c>
      <c r="AB113" s="31">
        <f>185+205</f>
        <v>390</v>
      </c>
      <c r="AC113">
        <f t="shared" si="6"/>
        <v>195</v>
      </c>
      <c r="AF113">
        <v>5.9</v>
      </c>
      <c r="AG113" s="36">
        <v>2700</v>
      </c>
      <c r="AH113">
        <v>195</v>
      </c>
      <c r="AJ113" s="22"/>
    </row>
    <row r="114" spans="1:36" x14ac:dyDescent="0.2">
      <c r="A114" s="16" t="s">
        <v>1355</v>
      </c>
      <c r="B114" s="1" t="s">
        <v>1387</v>
      </c>
      <c r="C114" s="22" t="s">
        <v>481</v>
      </c>
      <c r="D114" s="22"/>
      <c r="E114">
        <v>97.75</v>
      </c>
      <c r="F114" s="23"/>
      <c r="G114" s="23"/>
      <c r="H114" s="23"/>
      <c r="I114">
        <v>0.1</v>
      </c>
      <c r="J114" s="22">
        <v>0.15</v>
      </c>
      <c r="K114" s="22">
        <v>0.35</v>
      </c>
      <c r="L114" s="22"/>
      <c r="M114" s="22"/>
      <c r="N114" s="23">
        <v>0.5</v>
      </c>
      <c r="O114" s="23">
        <v>0.55000000000000004</v>
      </c>
      <c r="P114" s="22"/>
      <c r="Q114" s="22"/>
      <c r="R114" s="22"/>
      <c r="S114" s="23">
        <v>0.3</v>
      </c>
      <c r="T114" s="22"/>
      <c r="U114" s="22">
        <v>0.05</v>
      </c>
      <c r="V114" s="23"/>
      <c r="W114" s="22">
        <v>0.2</v>
      </c>
      <c r="X114" s="22"/>
      <c r="Y114" s="1">
        <f t="shared" si="4"/>
        <v>3.1067999999999998E-2</v>
      </c>
      <c r="Z114" s="31" t="str">
        <f t="shared" si="5"/>
        <v>=</v>
      </c>
      <c r="AB114" s="31">
        <f>86+95</f>
        <v>181</v>
      </c>
      <c r="AC114">
        <f t="shared" si="6"/>
        <v>90.5</v>
      </c>
      <c r="AF114">
        <v>5.9</v>
      </c>
      <c r="AG114" s="36">
        <v>2700</v>
      </c>
      <c r="AH114">
        <v>90.5</v>
      </c>
      <c r="AJ114" s="22"/>
    </row>
    <row r="115" spans="1:36" x14ac:dyDescent="0.2">
      <c r="A115" s="16" t="s">
        <v>1356</v>
      </c>
      <c r="B115" s="1" t="s">
        <v>1388</v>
      </c>
      <c r="C115" s="22" t="s">
        <v>502</v>
      </c>
      <c r="D115" s="22"/>
      <c r="E115">
        <v>98.25</v>
      </c>
      <c r="F115" s="23"/>
      <c r="G115" s="23"/>
      <c r="H115" s="23"/>
      <c r="I115">
        <v>0.05</v>
      </c>
      <c r="J115" s="22">
        <v>0.1</v>
      </c>
      <c r="K115" s="22">
        <v>0.35</v>
      </c>
      <c r="L115" s="22"/>
      <c r="M115" s="22"/>
      <c r="N115" s="23">
        <v>0.4</v>
      </c>
      <c r="O115" s="23">
        <v>0.1</v>
      </c>
      <c r="P115" s="22"/>
      <c r="Q115" s="22"/>
      <c r="R115" s="22"/>
      <c r="S115" s="23">
        <v>0.15</v>
      </c>
      <c r="T115" s="22"/>
      <c r="U115" s="22"/>
      <c r="V115" s="23"/>
      <c r="W115" s="22">
        <v>0.125</v>
      </c>
      <c r="X115" s="22"/>
      <c r="Y115" s="1">
        <f t="shared" si="4"/>
        <v>2.1656999999999999E-2</v>
      </c>
      <c r="Z115" s="31" t="str">
        <f t="shared" si="5"/>
        <v>=</v>
      </c>
      <c r="AB115" s="31">
        <f>138+152</f>
        <v>290</v>
      </c>
      <c r="AC115">
        <f t="shared" si="6"/>
        <v>145</v>
      </c>
      <c r="AF115">
        <v>5.9</v>
      </c>
      <c r="AG115" s="36">
        <v>2690</v>
      </c>
      <c r="AH115">
        <v>145</v>
      </c>
      <c r="AJ115" s="22"/>
    </row>
    <row r="116" spans="1:36" x14ac:dyDescent="0.2">
      <c r="A116" s="16" t="s">
        <v>1356</v>
      </c>
      <c r="B116" s="1" t="s">
        <v>1388</v>
      </c>
      <c r="C116" s="22" t="s">
        <v>920</v>
      </c>
      <c r="D116" s="22"/>
      <c r="E116">
        <v>98.25</v>
      </c>
      <c r="F116" s="23"/>
      <c r="G116" s="23"/>
      <c r="H116" s="23"/>
      <c r="I116">
        <v>0.05</v>
      </c>
      <c r="J116" s="22">
        <v>0.1</v>
      </c>
      <c r="K116" s="22">
        <v>0.35</v>
      </c>
      <c r="L116" s="22"/>
      <c r="M116" s="22"/>
      <c r="N116" s="23">
        <v>0.4</v>
      </c>
      <c r="O116" s="23">
        <v>0.1</v>
      </c>
      <c r="P116" s="22"/>
      <c r="Q116" s="22"/>
      <c r="R116" s="22"/>
      <c r="S116" s="23">
        <v>0.15</v>
      </c>
      <c r="T116" s="22"/>
      <c r="U116" s="22"/>
      <c r="V116" s="23"/>
      <c r="W116" s="22">
        <v>0.125</v>
      </c>
      <c r="X116" s="22"/>
      <c r="Y116" s="1">
        <f t="shared" si="4"/>
        <v>2.1656999999999999E-2</v>
      </c>
      <c r="Z116" s="31" t="str">
        <f t="shared" si="5"/>
        <v>=</v>
      </c>
      <c r="AB116" s="31">
        <f>157+173</f>
        <v>330</v>
      </c>
      <c r="AC116">
        <f t="shared" si="6"/>
        <v>165</v>
      </c>
      <c r="AF116">
        <v>5.9</v>
      </c>
      <c r="AG116" s="36">
        <v>2690</v>
      </c>
      <c r="AH116">
        <v>165</v>
      </c>
      <c r="AJ116" s="22"/>
    </row>
    <row r="117" spans="1:36" x14ac:dyDescent="0.2">
      <c r="A117" s="16" t="s">
        <v>1356</v>
      </c>
      <c r="B117" s="1" t="s">
        <v>1388</v>
      </c>
      <c r="C117" s="22" t="s">
        <v>481</v>
      </c>
      <c r="D117" s="22"/>
      <c r="E117">
        <v>98.25</v>
      </c>
      <c r="F117" s="23"/>
      <c r="G117" s="23"/>
      <c r="H117" s="23"/>
      <c r="I117">
        <v>0.05</v>
      </c>
      <c r="J117" s="22">
        <v>0.1</v>
      </c>
      <c r="K117" s="22">
        <v>0.35</v>
      </c>
      <c r="L117" s="22"/>
      <c r="M117" s="22"/>
      <c r="N117" s="23">
        <v>0.4</v>
      </c>
      <c r="O117" s="23">
        <v>0.1</v>
      </c>
      <c r="P117" s="22"/>
      <c r="Q117" s="22"/>
      <c r="R117" s="22"/>
      <c r="S117" s="23">
        <v>0.15</v>
      </c>
      <c r="T117" s="22"/>
      <c r="U117" s="22"/>
      <c r="V117" s="23"/>
      <c r="W117" s="22">
        <v>0.125</v>
      </c>
      <c r="X117" s="22"/>
      <c r="Y117" s="1">
        <f t="shared" si="4"/>
        <v>2.1656999999999999E-2</v>
      </c>
      <c r="Z117" s="31" t="str">
        <f t="shared" si="5"/>
        <v>=</v>
      </c>
      <c r="AB117" s="31">
        <f>43+47</f>
        <v>90</v>
      </c>
      <c r="AC117">
        <f t="shared" si="6"/>
        <v>45</v>
      </c>
      <c r="AF117">
        <v>5.9</v>
      </c>
      <c r="AG117" s="36">
        <v>2690</v>
      </c>
      <c r="AH117">
        <v>45</v>
      </c>
      <c r="AJ117" s="22"/>
    </row>
    <row r="118" spans="1:36" x14ac:dyDescent="0.2">
      <c r="A118" s="16" t="s">
        <v>1357</v>
      </c>
      <c r="B118" s="1" t="s">
        <v>1389</v>
      </c>
      <c r="C118" s="22" t="s">
        <v>847</v>
      </c>
      <c r="D118" s="22"/>
      <c r="E118">
        <v>96.699999999999989</v>
      </c>
      <c r="F118" s="23"/>
      <c r="G118" s="23"/>
      <c r="H118" s="23"/>
      <c r="I118">
        <v>0.25</v>
      </c>
      <c r="J118" s="22">
        <v>0.05</v>
      </c>
      <c r="K118" s="22">
        <v>0.2</v>
      </c>
      <c r="L118" s="22"/>
      <c r="M118" s="22"/>
      <c r="N118" s="23">
        <v>2.5</v>
      </c>
      <c r="O118" s="23">
        <v>0.05</v>
      </c>
      <c r="P118" s="22"/>
      <c r="Q118" s="22"/>
      <c r="R118" s="22"/>
      <c r="S118" s="23">
        <v>0.125</v>
      </c>
      <c r="T118" s="22"/>
      <c r="U118" s="22"/>
      <c r="V118" s="23"/>
      <c r="W118" s="22">
        <v>0.05</v>
      </c>
      <c r="X118" s="22"/>
      <c r="Y118" s="1">
        <f t="shared" si="4"/>
        <v>0.11135125000000001</v>
      </c>
      <c r="Z118" s="31" t="str">
        <f t="shared" si="5"/>
        <v>=</v>
      </c>
      <c r="AB118" s="31">
        <f>101+111</f>
        <v>212</v>
      </c>
      <c r="AC118">
        <f t="shared" si="6"/>
        <v>106</v>
      </c>
      <c r="AF118">
        <v>5.9</v>
      </c>
      <c r="AG118" s="36">
        <v>2680</v>
      </c>
      <c r="AH118">
        <v>106</v>
      </c>
      <c r="AJ118" s="22"/>
    </row>
    <row r="119" spans="1:36" x14ac:dyDescent="0.2">
      <c r="A119" s="16" t="s">
        <v>1357</v>
      </c>
      <c r="B119" s="1" t="s">
        <v>1390</v>
      </c>
      <c r="C119" s="22" t="s">
        <v>467</v>
      </c>
      <c r="D119" s="22"/>
      <c r="E119">
        <v>96.699999999999989</v>
      </c>
      <c r="F119" s="23"/>
      <c r="G119" s="23"/>
      <c r="H119" s="23"/>
      <c r="I119">
        <v>0.25</v>
      </c>
      <c r="J119" s="22">
        <v>0.05</v>
      </c>
      <c r="K119" s="22">
        <v>0.2</v>
      </c>
      <c r="L119" s="22"/>
      <c r="M119" s="22"/>
      <c r="N119" s="23">
        <v>2.5</v>
      </c>
      <c r="O119" s="23">
        <v>0.05</v>
      </c>
      <c r="P119" s="22"/>
      <c r="Q119" s="22"/>
      <c r="R119" s="22"/>
      <c r="S119" s="23">
        <v>0.125</v>
      </c>
      <c r="T119" s="22"/>
      <c r="U119" s="22"/>
      <c r="V119" s="23"/>
      <c r="W119" s="22">
        <v>0.05</v>
      </c>
      <c r="X119" s="22"/>
      <c r="Y119" s="1">
        <f t="shared" si="4"/>
        <v>0.11135125000000001</v>
      </c>
      <c r="Z119" s="31" t="str">
        <f t="shared" si="5"/>
        <v>=</v>
      </c>
      <c r="AB119" s="31">
        <f>240+252</f>
        <v>492</v>
      </c>
      <c r="AC119">
        <f t="shared" si="6"/>
        <v>246</v>
      </c>
      <c r="AF119">
        <v>5.9</v>
      </c>
      <c r="AG119" s="36">
        <v>2680</v>
      </c>
      <c r="AH119">
        <v>246</v>
      </c>
      <c r="AJ119" s="22"/>
    </row>
    <row r="120" spans="1:36" x14ac:dyDescent="0.2">
      <c r="A120" s="16" t="s">
        <v>1357</v>
      </c>
      <c r="B120" s="1" t="s">
        <v>1390</v>
      </c>
      <c r="C120" s="22" t="s">
        <v>937</v>
      </c>
      <c r="D120" s="22"/>
      <c r="E120">
        <v>96.699999999999989</v>
      </c>
      <c r="F120" s="23"/>
      <c r="G120" s="23"/>
      <c r="H120" s="23"/>
      <c r="I120">
        <v>0.25</v>
      </c>
      <c r="J120" s="22">
        <v>0.05</v>
      </c>
      <c r="K120" s="22">
        <v>0.2</v>
      </c>
      <c r="L120" s="22"/>
      <c r="M120" s="22"/>
      <c r="N120" s="23">
        <v>2.5</v>
      </c>
      <c r="O120" s="23">
        <v>0.05</v>
      </c>
      <c r="P120" s="22"/>
      <c r="Q120" s="22"/>
      <c r="R120" s="22"/>
      <c r="S120" s="23">
        <v>0.125</v>
      </c>
      <c r="T120" s="22"/>
      <c r="U120" s="22"/>
      <c r="V120" s="23"/>
      <c r="W120" s="22">
        <v>0.05</v>
      </c>
      <c r="X120" s="22"/>
      <c r="Y120" s="1">
        <f t="shared" si="4"/>
        <v>0.11135125000000001</v>
      </c>
      <c r="Z120" s="31" t="str">
        <f t="shared" si="5"/>
        <v>=</v>
      </c>
      <c r="AB120" s="31">
        <f>152+172</f>
        <v>324</v>
      </c>
      <c r="AC120">
        <f t="shared" si="6"/>
        <v>162</v>
      </c>
      <c r="AF120">
        <v>5.9</v>
      </c>
      <c r="AG120" s="36">
        <v>2680</v>
      </c>
      <c r="AH120">
        <v>162</v>
      </c>
      <c r="AJ120" s="22"/>
    </row>
    <row r="121" spans="1:36" x14ac:dyDescent="0.2">
      <c r="A121" s="16" t="s">
        <v>1357</v>
      </c>
      <c r="B121" s="1" t="s">
        <v>1390</v>
      </c>
      <c r="C121" s="22" t="s">
        <v>984</v>
      </c>
      <c r="D121" s="22"/>
      <c r="E121">
        <v>96.699999999999989</v>
      </c>
      <c r="F121" s="23"/>
      <c r="G121" s="23"/>
      <c r="H121" s="23"/>
      <c r="I121">
        <v>0.25</v>
      </c>
      <c r="J121" s="22">
        <v>0.05</v>
      </c>
      <c r="K121" s="22">
        <v>0.2</v>
      </c>
      <c r="L121" s="22"/>
      <c r="M121" s="22"/>
      <c r="N121" s="23">
        <v>2.5</v>
      </c>
      <c r="O121" s="23">
        <v>0.05</v>
      </c>
      <c r="P121" s="22"/>
      <c r="Q121" s="22"/>
      <c r="R121" s="22"/>
      <c r="S121" s="23">
        <v>0.125</v>
      </c>
      <c r="T121" s="22"/>
      <c r="U121" s="22"/>
      <c r="V121" s="23"/>
      <c r="W121" s="22">
        <v>0.05</v>
      </c>
      <c r="X121" s="22"/>
      <c r="Y121" s="1">
        <f t="shared" si="4"/>
        <v>0.11135125000000001</v>
      </c>
      <c r="Z121" s="31" t="str">
        <f t="shared" si="5"/>
        <v>=</v>
      </c>
      <c r="AB121" s="31">
        <f>172+190</f>
        <v>362</v>
      </c>
      <c r="AC121">
        <f t="shared" si="6"/>
        <v>181</v>
      </c>
      <c r="AF121">
        <v>5.9</v>
      </c>
      <c r="AG121" s="36">
        <v>2685</v>
      </c>
      <c r="AH121">
        <v>181</v>
      </c>
      <c r="AJ121" s="22"/>
    </row>
    <row r="122" spans="1:36" x14ac:dyDescent="0.2">
      <c r="A122" s="16" t="s">
        <v>1357</v>
      </c>
      <c r="B122" s="1" t="s">
        <v>1390</v>
      </c>
      <c r="C122" s="22" t="s">
        <v>985</v>
      </c>
      <c r="D122" s="22"/>
      <c r="E122">
        <v>96.699999999999989</v>
      </c>
      <c r="F122" s="23"/>
      <c r="G122" s="23"/>
      <c r="H122" s="23"/>
      <c r="I122">
        <v>0.25</v>
      </c>
      <c r="J122" s="22">
        <v>0.05</v>
      </c>
      <c r="K122" s="22">
        <v>0.2</v>
      </c>
      <c r="L122" s="22"/>
      <c r="M122" s="22"/>
      <c r="N122" s="23">
        <v>2.5</v>
      </c>
      <c r="O122" s="23">
        <v>0.05</v>
      </c>
      <c r="P122" s="22"/>
      <c r="Q122" s="22"/>
      <c r="R122" s="22"/>
      <c r="S122" s="23">
        <v>0.125</v>
      </c>
      <c r="T122" s="22"/>
      <c r="U122" s="22"/>
      <c r="V122" s="23"/>
      <c r="W122" s="22">
        <v>0.05</v>
      </c>
      <c r="X122" s="22"/>
      <c r="Y122" s="1">
        <f t="shared" si="4"/>
        <v>0.11135125000000001</v>
      </c>
      <c r="Z122" s="31" t="str">
        <f t="shared" si="5"/>
        <v>=</v>
      </c>
      <c r="AB122" s="31">
        <f>200+221</f>
        <v>421</v>
      </c>
      <c r="AC122">
        <f t="shared" si="6"/>
        <v>210.5</v>
      </c>
      <c r="AF122">
        <v>5.9</v>
      </c>
      <c r="AG122" s="36">
        <v>2680</v>
      </c>
      <c r="AH122">
        <v>210.5</v>
      </c>
      <c r="AJ122" s="22"/>
    </row>
    <row r="123" spans="1:36" x14ac:dyDescent="0.2">
      <c r="A123" s="16" t="s">
        <v>1357</v>
      </c>
      <c r="B123" s="1" t="s">
        <v>1390</v>
      </c>
      <c r="C123" s="22" t="s">
        <v>986</v>
      </c>
      <c r="D123" s="22"/>
      <c r="E123">
        <v>96.699999999999989</v>
      </c>
      <c r="F123" s="23"/>
      <c r="G123" s="23"/>
      <c r="H123" s="23"/>
      <c r="I123">
        <v>0.25</v>
      </c>
      <c r="J123" s="22">
        <v>0.05</v>
      </c>
      <c r="K123" s="22">
        <v>0.2</v>
      </c>
      <c r="L123" s="22"/>
      <c r="M123" s="22"/>
      <c r="N123" s="23">
        <v>2.5</v>
      </c>
      <c r="O123" s="23">
        <v>0.05</v>
      </c>
      <c r="P123" s="22"/>
      <c r="Q123" s="22"/>
      <c r="R123" s="22"/>
      <c r="S123" s="23">
        <v>0.125</v>
      </c>
      <c r="T123" s="22"/>
      <c r="U123" s="22"/>
      <c r="V123" s="23"/>
      <c r="W123" s="22">
        <v>0.05</v>
      </c>
      <c r="X123" s="22"/>
      <c r="Y123" s="1">
        <f t="shared" si="4"/>
        <v>0.11135125000000001</v>
      </c>
      <c r="Z123" s="31" t="str">
        <f t="shared" si="5"/>
        <v>=</v>
      </c>
      <c r="AB123" s="31">
        <f>221+244</f>
        <v>465</v>
      </c>
      <c r="AC123">
        <f t="shared" si="6"/>
        <v>232.5</v>
      </c>
      <c r="AF123">
        <v>5.9</v>
      </c>
      <c r="AG123" s="36">
        <v>2680</v>
      </c>
      <c r="AH123">
        <v>232.5</v>
      </c>
      <c r="AJ123" s="22"/>
    </row>
    <row r="124" spans="1:36" x14ac:dyDescent="0.2">
      <c r="A124" s="16" t="s">
        <v>1357</v>
      </c>
      <c r="B124" s="1" t="s">
        <v>1390</v>
      </c>
      <c r="C124" s="22" t="s">
        <v>481</v>
      </c>
      <c r="D124" s="22"/>
      <c r="E124">
        <v>96.699999999999989</v>
      </c>
      <c r="F124" s="23"/>
      <c r="G124" s="23"/>
      <c r="H124" s="23"/>
      <c r="I124">
        <v>0.25</v>
      </c>
      <c r="J124" s="22">
        <v>0.05</v>
      </c>
      <c r="K124" s="22">
        <v>0.2</v>
      </c>
      <c r="L124" s="22"/>
      <c r="M124" s="22"/>
      <c r="N124" s="23">
        <v>2.5</v>
      </c>
      <c r="O124" s="23">
        <v>0.05</v>
      </c>
      <c r="P124" s="22"/>
      <c r="Q124" s="22"/>
      <c r="R124" s="22"/>
      <c r="S124" s="23">
        <v>0.125</v>
      </c>
      <c r="T124" s="22"/>
      <c r="U124" s="22"/>
      <c r="V124" s="23"/>
      <c r="W124" s="22">
        <v>0.05</v>
      </c>
      <c r="X124" s="22"/>
      <c r="Y124" s="1">
        <f t="shared" si="4"/>
        <v>0.11135125000000001</v>
      </c>
      <c r="Z124" s="31" t="str">
        <f t="shared" si="5"/>
        <v>=</v>
      </c>
      <c r="AB124" s="31">
        <f>66+72.9</f>
        <v>138.9</v>
      </c>
      <c r="AC124">
        <f t="shared" si="6"/>
        <v>69.45</v>
      </c>
      <c r="AF124">
        <v>5.9</v>
      </c>
      <c r="AG124" s="36">
        <v>2680</v>
      </c>
      <c r="AH124">
        <v>69.45</v>
      </c>
      <c r="AJ124" s="22"/>
    </row>
    <row r="125" spans="1:36" x14ac:dyDescent="0.2">
      <c r="A125" s="29" t="s">
        <v>1358</v>
      </c>
      <c r="B125" s="27" t="s">
        <v>1413</v>
      </c>
      <c r="C125" s="22" t="s">
        <v>955</v>
      </c>
      <c r="D125" s="22"/>
      <c r="E125">
        <v>94</v>
      </c>
      <c r="F125" s="23"/>
      <c r="G125" s="23"/>
      <c r="H125" s="23"/>
      <c r="I125">
        <v>0.15</v>
      </c>
      <c r="J125" s="22">
        <v>0.05</v>
      </c>
      <c r="K125" s="22">
        <v>0.2</v>
      </c>
      <c r="L125" s="22"/>
      <c r="M125" s="22"/>
      <c r="N125" s="23">
        <v>4.45</v>
      </c>
      <c r="O125" s="23">
        <v>0.7</v>
      </c>
      <c r="P125" s="22"/>
      <c r="Q125" s="22"/>
      <c r="R125" s="22"/>
      <c r="S125" s="23">
        <v>0.2</v>
      </c>
      <c r="T125" s="22"/>
      <c r="U125" s="22">
        <v>7.4999999999999997E-2</v>
      </c>
      <c r="V125" s="23"/>
      <c r="W125" s="22">
        <v>0.125</v>
      </c>
      <c r="X125" s="22"/>
      <c r="Y125" s="1">
        <f t="shared" si="4"/>
        <v>0.19069849999999999</v>
      </c>
      <c r="Z125" s="31" t="str">
        <f t="shared" si="5"/>
        <v>=</v>
      </c>
      <c r="AB125" s="31">
        <f>131+165</f>
        <v>296</v>
      </c>
      <c r="AC125">
        <f t="shared" si="6"/>
        <v>148</v>
      </c>
      <c r="AF125">
        <v>5.9</v>
      </c>
      <c r="AG125" s="36">
        <v>2655</v>
      </c>
      <c r="AH125">
        <v>148</v>
      </c>
      <c r="AJ125" s="22"/>
    </row>
    <row r="126" spans="1:36" x14ac:dyDescent="0.2">
      <c r="A126" s="29" t="s">
        <v>1358</v>
      </c>
      <c r="B126" s="27" t="s">
        <v>1413</v>
      </c>
      <c r="C126" s="22" t="s">
        <v>976</v>
      </c>
      <c r="D126" s="22"/>
      <c r="E126">
        <v>94</v>
      </c>
      <c r="F126" s="23"/>
      <c r="G126" s="23"/>
      <c r="H126" s="23"/>
      <c r="I126">
        <v>0.15</v>
      </c>
      <c r="J126" s="22">
        <v>0.05</v>
      </c>
      <c r="K126" s="22">
        <v>0.2</v>
      </c>
      <c r="L126" s="22"/>
      <c r="M126" s="22"/>
      <c r="N126" s="23">
        <v>4.45</v>
      </c>
      <c r="O126" s="23">
        <v>0.7</v>
      </c>
      <c r="P126" s="22"/>
      <c r="Q126" s="22"/>
      <c r="R126" s="22"/>
      <c r="S126" s="23">
        <v>0.2</v>
      </c>
      <c r="T126" s="22"/>
      <c r="U126" s="22">
        <v>7.4999999999999997E-2</v>
      </c>
      <c r="V126" s="23"/>
      <c r="W126" s="22">
        <v>0.125</v>
      </c>
      <c r="X126" s="22"/>
      <c r="Y126" s="1">
        <f t="shared" si="4"/>
        <v>0.19069849999999999</v>
      </c>
      <c r="Z126" s="31" t="str">
        <f t="shared" si="5"/>
        <v>=</v>
      </c>
      <c r="AB126" s="31">
        <f>110+124</f>
        <v>234</v>
      </c>
      <c r="AC126">
        <f t="shared" si="6"/>
        <v>117</v>
      </c>
      <c r="AF126">
        <v>5.9</v>
      </c>
      <c r="AG126" s="36">
        <v>2655</v>
      </c>
      <c r="AH126">
        <v>117</v>
      </c>
      <c r="AJ126" s="22"/>
    </row>
    <row r="127" spans="1:36" x14ac:dyDescent="0.2">
      <c r="A127" s="29" t="s">
        <v>1358</v>
      </c>
      <c r="B127" s="27" t="s">
        <v>1413</v>
      </c>
      <c r="C127" s="22" t="s">
        <v>977</v>
      </c>
      <c r="D127" s="22"/>
      <c r="E127">
        <v>94</v>
      </c>
      <c r="F127" s="23"/>
      <c r="G127" s="23"/>
      <c r="H127" s="23"/>
      <c r="I127">
        <v>0.15</v>
      </c>
      <c r="J127" s="22">
        <v>0.05</v>
      </c>
      <c r="K127" s="22">
        <v>0.2</v>
      </c>
      <c r="L127" s="22"/>
      <c r="M127" s="22"/>
      <c r="N127" s="23">
        <v>4.45</v>
      </c>
      <c r="O127" s="23">
        <v>0.7</v>
      </c>
      <c r="P127" s="22"/>
      <c r="Q127" s="22"/>
      <c r="R127" s="22"/>
      <c r="S127" s="23">
        <v>0.2</v>
      </c>
      <c r="T127" s="22"/>
      <c r="U127" s="22">
        <v>7.4999999999999997E-2</v>
      </c>
      <c r="V127" s="23"/>
      <c r="W127" s="22">
        <v>0.125</v>
      </c>
      <c r="X127" s="22"/>
      <c r="Y127" s="1">
        <f t="shared" si="4"/>
        <v>0.19069849999999999</v>
      </c>
      <c r="Z127" s="31" t="str">
        <f t="shared" si="5"/>
        <v>=</v>
      </c>
      <c r="AB127" s="31">
        <f>193+221</f>
        <v>414</v>
      </c>
      <c r="AC127">
        <f t="shared" si="6"/>
        <v>207</v>
      </c>
      <c r="AF127">
        <v>5.9</v>
      </c>
      <c r="AG127" s="36">
        <v>2655</v>
      </c>
      <c r="AH127">
        <v>207</v>
      </c>
      <c r="AJ127" s="22"/>
    </row>
    <row r="128" spans="1:36" x14ac:dyDescent="0.2">
      <c r="A128" s="29" t="s">
        <v>1358</v>
      </c>
      <c r="B128" s="27" t="s">
        <v>1413</v>
      </c>
      <c r="C128" s="22" t="s">
        <v>978</v>
      </c>
      <c r="D128" s="22"/>
      <c r="E128">
        <v>94</v>
      </c>
      <c r="F128" s="23"/>
      <c r="G128" s="23"/>
      <c r="H128" s="23"/>
      <c r="I128">
        <v>0.15</v>
      </c>
      <c r="J128" s="22">
        <v>0.05</v>
      </c>
      <c r="K128" s="22">
        <v>0.2</v>
      </c>
      <c r="L128" s="22"/>
      <c r="M128" s="22"/>
      <c r="N128" s="23">
        <v>4.45</v>
      </c>
      <c r="O128" s="23">
        <v>0.7</v>
      </c>
      <c r="P128" s="22"/>
      <c r="Q128" s="22"/>
      <c r="R128" s="22"/>
      <c r="S128" s="23">
        <v>0.2</v>
      </c>
      <c r="T128" s="22"/>
      <c r="U128" s="22">
        <v>7.4999999999999997E-2</v>
      </c>
      <c r="V128" s="23"/>
      <c r="W128" s="22">
        <v>0.125</v>
      </c>
      <c r="X128" s="22"/>
      <c r="Y128" s="1">
        <f t="shared" si="4"/>
        <v>0.19069849999999999</v>
      </c>
      <c r="Z128" s="31" t="str">
        <f t="shared" si="5"/>
        <v>=</v>
      </c>
      <c r="AB128" s="31">
        <f>234+259</f>
        <v>493</v>
      </c>
      <c r="AC128">
        <f t="shared" si="6"/>
        <v>246.5</v>
      </c>
      <c r="AF128">
        <v>5.9</v>
      </c>
      <c r="AG128" s="36">
        <v>2655</v>
      </c>
      <c r="AH128">
        <v>246.5</v>
      </c>
      <c r="AJ128" s="22"/>
    </row>
    <row r="129" spans="1:36" x14ac:dyDescent="0.2">
      <c r="A129" s="29" t="s">
        <v>1358</v>
      </c>
      <c r="B129" s="27" t="s">
        <v>1413</v>
      </c>
      <c r="C129" s="22" t="s">
        <v>979</v>
      </c>
      <c r="D129" s="22"/>
      <c r="E129">
        <v>94</v>
      </c>
      <c r="F129" s="23"/>
      <c r="G129" s="23"/>
      <c r="H129" s="23"/>
      <c r="I129">
        <v>0.15</v>
      </c>
      <c r="J129" s="22">
        <v>0.05</v>
      </c>
      <c r="K129" s="22">
        <v>0.2</v>
      </c>
      <c r="L129" s="22"/>
      <c r="M129" s="22"/>
      <c r="N129" s="23">
        <v>4.45</v>
      </c>
      <c r="O129" s="23">
        <v>0.7</v>
      </c>
      <c r="P129" s="22"/>
      <c r="Q129" s="22"/>
      <c r="R129" s="22"/>
      <c r="S129" s="23">
        <v>0.2</v>
      </c>
      <c r="T129" s="22"/>
      <c r="U129" s="22">
        <v>7.4999999999999997E-2</v>
      </c>
      <c r="V129" s="23"/>
      <c r="W129" s="22">
        <v>0.125</v>
      </c>
      <c r="X129" s="22"/>
      <c r="Y129" s="1">
        <f t="shared" si="4"/>
        <v>0.19069849999999999</v>
      </c>
      <c r="Z129" s="31" t="str">
        <f t="shared" si="5"/>
        <v>=</v>
      </c>
      <c r="AB129" s="31">
        <f>269+297</f>
        <v>566</v>
      </c>
      <c r="AC129">
        <f t="shared" si="6"/>
        <v>283</v>
      </c>
      <c r="AF129">
        <v>5.9</v>
      </c>
      <c r="AG129" s="36">
        <v>2655</v>
      </c>
      <c r="AH129">
        <v>283</v>
      </c>
      <c r="AJ129" s="22"/>
    </row>
    <row r="130" spans="1:36" x14ac:dyDescent="0.2">
      <c r="A130" s="29" t="s">
        <v>1358</v>
      </c>
      <c r="B130" s="27" t="s">
        <v>1413</v>
      </c>
      <c r="C130" s="22" t="s">
        <v>481</v>
      </c>
      <c r="D130" s="22"/>
      <c r="E130">
        <v>94</v>
      </c>
      <c r="F130" s="23"/>
      <c r="G130" s="23"/>
      <c r="H130" s="23"/>
      <c r="I130">
        <v>0.15</v>
      </c>
      <c r="J130" s="22">
        <v>0.05</v>
      </c>
      <c r="K130" s="22">
        <v>0.2</v>
      </c>
      <c r="L130" s="22"/>
      <c r="M130" s="22"/>
      <c r="N130" s="23">
        <v>4.45</v>
      </c>
      <c r="O130" s="23">
        <v>0.7</v>
      </c>
      <c r="P130" s="22"/>
      <c r="Q130" s="22"/>
      <c r="R130" s="22"/>
      <c r="S130" s="23">
        <v>0.2</v>
      </c>
      <c r="T130" s="22"/>
      <c r="U130" s="22">
        <v>7.4999999999999997E-2</v>
      </c>
      <c r="V130" s="23"/>
      <c r="W130" s="22">
        <v>0.125</v>
      </c>
      <c r="X130" s="22"/>
      <c r="Y130" s="1">
        <f t="shared" si="4"/>
        <v>0.19069849999999999</v>
      </c>
      <c r="Z130" s="31" t="str">
        <f t="shared" si="5"/>
        <v>=</v>
      </c>
      <c r="AB130" s="31">
        <f>110+131</f>
        <v>241</v>
      </c>
      <c r="AC130">
        <f t="shared" si="6"/>
        <v>120.5</v>
      </c>
      <c r="AF130">
        <v>5.9</v>
      </c>
      <c r="AG130" s="36">
        <v>2655</v>
      </c>
      <c r="AH130">
        <v>120.5</v>
      </c>
      <c r="AJ130" s="22"/>
    </row>
    <row r="131" spans="1:36" x14ac:dyDescent="0.2">
      <c r="A131" s="29" t="s">
        <v>1359</v>
      </c>
      <c r="B131" s="27" t="s">
        <v>1412</v>
      </c>
      <c r="C131" s="22" t="s">
        <v>980</v>
      </c>
      <c r="D131" s="22"/>
      <c r="E131">
        <v>94.6</v>
      </c>
      <c r="F131" s="23"/>
      <c r="G131" s="23"/>
      <c r="H131" s="23"/>
      <c r="I131">
        <v>0.15</v>
      </c>
      <c r="J131" s="22">
        <v>0.05</v>
      </c>
      <c r="K131" s="22">
        <v>0.25</v>
      </c>
      <c r="L131" s="22"/>
      <c r="M131" s="22"/>
      <c r="N131" s="23">
        <v>4</v>
      </c>
      <c r="O131" s="23">
        <v>0.44999999999999996</v>
      </c>
      <c r="P131" s="22"/>
      <c r="Q131" s="22"/>
      <c r="R131" s="22"/>
      <c r="S131" s="23">
        <v>0.2</v>
      </c>
      <c r="T131" s="22"/>
      <c r="U131" s="22">
        <v>7.4999999999999997E-2</v>
      </c>
      <c r="V131" s="23"/>
      <c r="W131" s="22">
        <v>0.125</v>
      </c>
      <c r="X131" s="22"/>
      <c r="Y131" s="1">
        <f t="shared" si="4"/>
        <v>0.17232949999999997</v>
      </c>
      <c r="Z131" s="31" t="str">
        <f t="shared" si="5"/>
        <v>=</v>
      </c>
      <c r="AB131" s="31">
        <f>145+160</f>
        <v>305</v>
      </c>
      <c r="AC131">
        <f t="shared" si="6"/>
        <v>152.5</v>
      </c>
      <c r="AF131">
        <v>5.9</v>
      </c>
      <c r="AG131" s="36">
        <v>2655</v>
      </c>
      <c r="AH131">
        <v>152.5</v>
      </c>
      <c r="AJ131" s="22"/>
    </row>
    <row r="132" spans="1:36" x14ac:dyDescent="0.2">
      <c r="A132" s="29" t="s">
        <v>1360</v>
      </c>
      <c r="B132" s="27" t="s">
        <v>1412</v>
      </c>
      <c r="C132" s="22" t="s">
        <v>976</v>
      </c>
      <c r="D132" s="22"/>
      <c r="E132">
        <v>94.6</v>
      </c>
      <c r="F132" s="23"/>
      <c r="G132" s="23"/>
      <c r="H132" s="23"/>
      <c r="I132">
        <v>0.15</v>
      </c>
      <c r="J132" s="22">
        <v>0.05</v>
      </c>
      <c r="K132" s="22">
        <v>0.25</v>
      </c>
      <c r="L132" s="22"/>
      <c r="M132" s="22"/>
      <c r="N132" s="23">
        <v>4</v>
      </c>
      <c r="O132" s="23">
        <v>0.44999999999999996</v>
      </c>
      <c r="P132" s="22"/>
      <c r="Q132" s="22"/>
      <c r="R132" s="22"/>
      <c r="S132" s="23">
        <v>0.2</v>
      </c>
      <c r="T132" s="22"/>
      <c r="U132" s="22">
        <v>7.4999999999999997E-2</v>
      </c>
      <c r="V132" s="23"/>
      <c r="W132" s="22">
        <v>0.125</v>
      </c>
      <c r="X132" s="22"/>
      <c r="Y132" s="1">
        <f t="shared" si="4"/>
        <v>0.17232949999999997</v>
      </c>
      <c r="Z132" s="31" t="str">
        <f t="shared" si="5"/>
        <v>=</v>
      </c>
      <c r="AB132" s="31">
        <f>97+124</f>
        <v>221</v>
      </c>
      <c r="AC132">
        <f t="shared" si="6"/>
        <v>110.5</v>
      </c>
      <c r="AF132">
        <v>5.9</v>
      </c>
      <c r="AG132" s="36">
        <v>2655</v>
      </c>
      <c r="AH132">
        <v>110.5</v>
      </c>
      <c r="AJ132" s="22"/>
    </row>
    <row r="133" spans="1:36" x14ac:dyDescent="0.2">
      <c r="A133" s="29" t="s">
        <v>1360</v>
      </c>
      <c r="B133" s="27" t="s">
        <v>1412</v>
      </c>
      <c r="C133" s="22" t="s">
        <v>937</v>
      </c>
      <c r="D133" s="22"/>
      <c r="E133">
        <v>94.6</v>
      </c>
      <c r="F133" s="23"/>
      <c r="G133" s="23"/>
      <c r="H133" s="23"/>
      <c r="I133">
        <v>0.15</v>
      </c>
      <c r="J133" s="22">
        <v>0.05</v>
      </c>
      <c r="K133" s="22">
        <v>0.25</v>
      </c>
      <c r="L133" s="22"/>
      <c r="M133" s="22"/>
      <c r="N133" s="23">
        <v>4</v>
      </c>
      <c r="O133" s="23">
        <v>0.44999999999999996</v>
      </c>
      <c r="P133" s="22"/>
      <c r="Q133" s="22"/>
      <c r="R133" s="22"/>
      <c r="S133" s="23">
        <v>0.2</v>
      </c>
      <c r="T133" s="22"/>
      <c r="U133" s="22">
        <v>7.4999999999999997E-2</v>
      </c>
      <c r="V133" s="23"/>
      <c r="W133" s="22">
        <v>0.125</v>
      </c>
      <c r="X133" s="22"/>
      <c r="Y133" s="1">
        <f t="shared" ref="Y133:Y196" si="8">3.262*F133/100+4.012*G133/100+4.36*H133/100+2.333*I133/100+3.327*L133/100+4.082*N133/100+2.775*S133/100+2.165*V133/100</f>
        <v>0.17232949999999997</v>
      </c>
      <c r="Z133" s="31" t="str">
        <f t="shared" ref="Z133:Z196" si="9">"="&amp;AI133</f>
        <v>=</v>
      </c>
      <c r="AB133" s="31">
        <f>179+207</f>
        <v>386</v>
      </c>
      <c r="AC133">
        <f t="shared" ref="AC133:AC196" si="10">AB133/2</f>
        <v>193</v>
      </c>
      <c r="AF133">
        <v>5.9</v>
      </c>
      <c r="AG133" s="36">
        <v>2655</v>
      </c>
      <c r="AH133">
        <v>193</v>
      </c>
      <c r="AJ133" s="22"/>
    </row>
    <row r="134" spans="1:36" x14ac:dyDescent="0.2">
      <c r="A134" s="29" t="s">
        <v>1360</v>
      </c>
      <c r="B134" s="27" t="s">
        <v>1412</v>
      </c>
      <c r="C134" s="22" t="s">
        <v>984</v>
      </c>
      <c r="D134" s="22"/>
      <c r="E134">
        <v>94.6</v>
      </c>
      <c r="F134" s="23"/>
      <c r="G134" s="23"/>
      <c r="H134" s="23"/>
      <c r="I134">
        <v>0.15</v>
      </c>
      <c r="J134" s="22">
        <v>0.05</v>
      </c>
      <c r="K134" s="22">
        <v>0.25</v>
      </c>
      <c r="L134" s="22"/>
      <c r="M134" s="22"/>
      <c r="N134" s="23">
        <v>4</v>
      </c>
      <c r="O134" s="23">
        <v>0.44999999999999996</v>
      </c>
      <c r="P134" s="22"/>
      <c r="Q134" s="22"/>
      <c r="R134" s="22"/>
      <c r="S134" s="23">
        <v>0.2</v>
      </c>
      <c r="T134" s="22"/>
      <c r="U134" s="22">
        <v>7.4999999999999997E-2</v>
      </c>
      <c r="V134" s="23"/>
      <c r="W134" s="22">
        <v>0.125</v>
      </c>
      <c r="X134" s="22"/>
      <c r="Y134" s="1">
        <f t="shared" si="8"/>
        <v>0.17232949999999997</v>
      </c>
      <c r="Z134" s="31" t="str">
        <f t="shared" si="9"/>
        <v>=</v>
      </c>
      <c r="AB134" s="31">
        <f>228+252</f>
        <v>480</v>
      </c>
      <c r="AC134">
        <f t="shared" si="10"/>
        <v>240</v>
      </c>
      <c r="AF134">
        <v>5.9</v>
      </c>
      <c r="AG134" s="36">
        <v>2655</v>
      </c>
      <c r="AH134">
        <v>240</v>
      </c>
      <c r="AJ134" s="22"/>
    </row>
    <row r="135" spans="1:36" x14ac:dyDescent="0.2">
      <c r="A135" s="29" t="s">
        <v>1360</v>
      </c>
      <c r="B135" s="27" t="s">
        <v>1412</v>
      </c>
      <c r="C135" s="22" t="s">
        <v>985</v>
      </c>
      <c r="D135" s="22"/>
      <c r="E135">
        <v>94.6</v>
      </c>
      <c r="F135" s="23"/>
      <c r="G135" s="23"/>
      <c r="H135" s="23"/>
      <c r="I135">
        <v>0.15</v>
      </c>
      <c r="J135" s="22">
        <v>0.05</v>
      </c>
      <c r="K135" s="22">
        <v>0.25</v>
      </c>
      <c r="L135" s="22"/>
      <c r="M135" s="22"/>
      <c r="N135" s="23">
        <v>4</v>
      </c>
      <c r="O135" s="23">
        <v>0.44999999999999996</v>
      </c>
      <c r="P135" s="22"/>
      <c r="Q135" s="22"/>
      <c r="R135" s="22"/>
      <c r="S135" s="23">
        <v>0.2</v>
      </c>
      <c r="T135" s="22"/>
      <c r="U135" s="22">
        <v>7.4999999999999997E-2</v>
      </c>
      <c r="V135" s="23"/>
      <c r="W135" s="22">
        <v>0.125</v>
      </c>
      <c r="X135" s="22"/>
      <c r="Y135" s="1">
        <f t="shared" si="8"/>
        <v>0.17232949999999997</v>
      </c>
      <c r="Z135" s="31" t="str">
        <f t="shared" si="9"/>
        <v>=</v>
      </c>
      <c r="AB135" s="31">
        <f>255+282</f>
        <v>537</v>
      </c>
      <c r="AC135">
        <f t="shared" si="10"/>
        <v>268.5</v>
      </c>
      <c r="AF135">
        <v>5.9</v>
      </c>
      <c r="AG135" s="36">
        <v>2655</v>
      </c>
      <c r="AH135">
        <v>268.5</v>
      </c>
      <c r="AJ135" s="22"/>
    </row>
    <row r="136" spans="1:36" x14ac:dyDescent="0.2">
      <c r="A136" s="29" t="s">
        <v>1360</v>
      </c>
      <c r="B136" s="27" t="s">
        <v>1412</v>
      </c>
      <c r="C136" s="22" t="s">
        <v>986</v>
      </c>
      <c r="D136" s="22"/>
      <c r="E136">
        <v>94.6</v>
      </c>
      <c r="F136" s="23"/>
      <c r="G136" s="23"/>
      <c r="H136" s="23"/>
      <c r="I136">
        <v>0.15</v>
      </c>
      <c r="J136" s="22">
        <v>0.05</v>
      </c>
      <c r="K136" s="22">
        <v>0.25</v>
      </c>
      <c r="L136" s="22"/>
      <c r="M136" s="22"/>
      <c r="N136" s="23">
        <v>4</v>
      </c>
      <c r="O136" s="23">
        <v>0.44999999999999996</v>
      </c>
      <c r="P136" s="22"/>
      <c r="Q136" s="22"/>
      <c r="R136" s="22"/>
      <c r="S136" s="23">
        <v>0.2</v>
      </c>
      <c r="T136" s="22"/>
      <c r="U136" s="22">
        <v>7.4999999999999997E-2</v>
      </c>
      <c r="V136" s="23"/>
      <c r="W136" s="22">
        <v>0.125</v>
      </c>
      <c r="X136" s="22"/>
      <c r="Y136" s="1">
        <f t="shared" si="8"/>
        <v>0.17232949999999997</v>
      </c>
      <c r="Z136" s="31" t="str">
        <f t="shared" si="9"/>
        <v>=</v>
      </c>
      <c r="AB136" s="31">
        <f>283+313</f>
        <v>596</v>
      </c>
      <c r="AC136">
        <f t="shared" si="10"/>
        <v>298</v>
      </c>
      <c r="AF136">
        <v>5.9</v>
      </c>
      <c r="AG136" s="36">
        <v>2655</v>
      </c>
      <c r="AH136">
        <v>298</v>
      </c>
      <c r="AJ136" s="22"/>
    </row>
    <row r="137" spans="1:36" x14ac:dyDescent="0.2">
      <c r="A137" s="29" t="s">
        <v>1360</v>
      </c>
      <c r="B137" s="27" t="s">
        <v>1412</v>
      </c>
      <c r="C137" s="22" t="s">
        <v>481</v>
      </c>
      <c r="D137" s="22"/>
      <c r="E137">
        <v>94.6</v>
      </c>
      <c r="F137" s="23"/>
      <c r="G137" s="23"/>
      <c r="H137" s="23"/>
      <c r="I137">
        <v>0.15</v>
      </c>
      <c r="J137" s="22">
        <v>0.05</v>
      </c>
      <c r="K137" s="22">
        <v>0.25</v>
      </c>
      <c r="L137" s="22"/>
      <c r="M137" s="22"/>
      <c r="N137" s="23">
        <v>4</v>
      </c>
      <c r="O137" s="23">
        <v>0.44999999999999996</v>
      </c>
      <c r="P137" s="22"/>
      <c r="Q137" s="22"/>
      <c r="R137" s="22"/>
      <c r="S137" s="23">
        <v>0.2</v>
      </c>
      <c r="T137" s="22"/>
      <c r="U137" s="22">
        <v>7.4999999999999997E-2</v>
      </c>
      <c r="V137" s="23"/>
      <c r="W137" s="22">
        <v>0.125</v>
      </c>
      <c r="X137" s="22"/>
      <c r="Y137" s="1">
        <f t="shared" si="8"/>
        <v>0.17232949999999997</v>
      </c>
      <c r="Z137" s="31" t="str">
        <f t="shared" si="9"/>
        <v>=</v>
      </c>
      <c r="AB137" s="31">
        <f>97+107</f>
        <v>204</v>
      </c>
      <c r="AC137">
        <f t="shared" si="10"/>
        <v>102</v>
      </c>
      <c r="AF137">
        <v>5.9</v>
      </c>
      <c r="AG137" s="36">
        <v>2655</v>
      </c>
      <c r="AH137">
        <v>102</v>
      </c>
      <c r="AJ137" s="22"/>
    </row>
    <row r="138" spans="1:36" x14ac:dyDescent="0.2">
      <c r="A138" s="16" t="s">
        <v>1310</v>
      </c>
      <c r="B138" s="1" t="s">
        <v>1410</v>
      </c>
      <c r="C138" s="22" t="s">
        <v>1004</v>
      </c>
      <c r="D138" s="22"/>
      <c r="E138">
        <v>95.6</v>
      </c>
      <c r="F138" s="23"/>
      <c r="G138" s="23"/>
      <c r="H138" s="23"/>
      <c r="I138">
        <v>0.25</v>
      </c>
      <c r="J138" s="22">
        <v>0.05</v>
      </c>
      <c r="K138" s="22">
        <v>0.2</v>
      </c>
      <c r="L138" s="22"/>
      <c r="M138" s="22"/>
      <c r="N138" s="23">
        <v>3.5</v>
      </c>
      <c r="O138" s="23">
        <v>0.05</v>
      </c>
      <c r="P138" s="22"/>
      <c r="Q138" s="22"/>
      <c r="R138" s="22"/>
      <c r="S138" s="23">
        <v>0.125</v>
      </c>
      <c r="T138" s="22"/>
      <c r="U138" s="22">
        <v>0.1</v>
      </c>
      <c r="V138" s="23"/>
      <c r="W138" s="22">
        <v>0.1</v>
      </c>
      <c r="X138" s="22"/>
      <c r="Y138" s="1">
        <f t="shared" si="8"/>
        <v>0.15217124999999998</v>
      </c>
      <c r="Z138" s="31" t="str">
        <f t="shared" si="9"/>
        <v>=</v>
      </c>
      <c r="AB138" s="31">
        <f>195+215</f>
        <v>410</v>
      </c>
      <c r="AC138">
        <f t="shared" si="10"/>
        <v>205</v>
      </c>
      <c r="AF138">
        <v>5.9</v>
      </c>
      <c r="AG138" s="36">
        <v>2670</v>
      </c>
      <c r="AH138">
        <v>205</v>
      </c>
      <c r="AJ138" s="22"/>
    </row>
    <row r="139" spans="1:36" x14ac:dyDescent="0.2">
      <c r="A139" s="16" t="s">
        <v>1310</v>
      </c>
      <c r="B139" s="1" t="s">
        <v>1411</v>
      </c>
      <c r="C139" s="22" t="s">
        <v>502</v>
      </c>
      <c r="D139" s="22"/>
      <c r="E139">
        <v>95.6</v>
      </c>
      <c r="F139" s="23"/>
      <c r="G139" s="23"/>
      <c r="H139" s="23"/>
      <c r="I139">
        <v>0.25</v>
      </c>
      <c r="J139" s="22">
        <v>0.05</v>
      </c>
      <c r="K139" s="22">
        <v>0.2</v>
      </c>
      <c r="L139" s="22"/>
      <c r="M139" s="22"/>
      <c r="N139" s="23">
        <v>3.5</v>
      </c>
      <c r="O139" s="23">
        <v>0.05</v>
      </c>
      <c r="P139" s="22"/>
      <c r="Q139" s="22"/>
      <c r="R139" s="22"/>
      <c r="S139" s="23">
        <v>0.125</v>
      </c>
      <c r="T139" s="22"/>
      <c r="U139" s="22">
        <v>0.1</v>
      </c>
      <c r="V139" s="23"/>
      <c r="W139" s="22">
        <v>0.1</v>
      </c>
      <c r="X139" s="22"/>
      <c r="Y139" s="1">
        <f t="shared" si="8"/>
        <v>0.15217124999999998</v>
      </c>
      <c r="Z139" s="31" t="str">
        <f t="shared" si="9"/>
        <v>=</v>
      </c>
      <c r="AB139" s="31">
        <f>223+247</f>
        <v>470</v>
      </c>
      <c r="AC139">
        <f t="shared" si="10"/>
        <v>235</v>
      </c>
      <c r="AF139">
        <v>5.9</v>
      </c>
      <c r="AG139" s="36">
        <v>2670</v>
      </c>
      <c r="AH139">
        <v>235</v>
      </c>
      <c r="AJ139" s="22"/>
    </row>
    <row r="140" spans="1:36" x14ac:dyDescent="0.2">
      <c r="A140" s="16" t="s">
        <v>1310</v>
      </c>
      <c r="B140" s="1" t="s">
        <v>1410</v>
      </c>
      <c r="C140" s="22" t="s">
        <v>481</v>
      </c>
      <c r="D140" s="22"/>
      <c r="E140">
        <v>95.6</v>
      </c>
      <c r="F140" s="23"/>
      <c r="G140" s="23"/>
      <c r="H140" s="23"/>
      <c r="I140">
        <v>0.25</v>
      </c>
      <c r="J140" s="22">
        <v>0.05</v>
      </c>
      <c r="K140" s="22">
        <v>0.2</v>
      </c>
      <c r="L140" s="22"/>
      <c r="M140" s="22"/>
      <c r="N140" s="23">
        <v>3.5</v>
      </c>
      <c r="O140" s="23">
        <v>0.05</v>
      </c>
      <c r="P140" s="22"/>
      <c r="Q140" s="22"/>
      <c r="R140" s="22"/>
      <c r="S140" s="23">
        <v>0.125</v>
      </c>
      <c r="T140" s="22"/>
      <c r="U140" s="22">
        <v>0.1</v>
      </c>
      <c r="V140" s="23"/>
      <c r="W140" s="22">
        <v>0.1</v>
      </c>
      <c r="X140" s="22"/>
      <c r="Y140" s="1">
        <f t="shared" si="8"/>
        <v>0.15217124999999998</v>
      </c>
      <c r="Z140" s="31" t="str">
        <f t="shared" si="9"/>
        <v>=</v>
      </c>
      <c r="AB140" s="31">
        <f>105+116</f>
        <v>221</v>
      </c>
      <c r="AC140">
        <f t="shared" si="10"/>
        <v>110.5</v>
      </c>
      <c r="AF140">
        <v>5.9</v>
      </c>
      <c r="AG140" s="36">
        <v>2670</v>
      </c>
      <c r="AH140">
        <v>110.5</v>
      </c>
      <c r="AJ140" s="22"/>
    </row>
    <row r="141" spans="1:36" x14ac:dyDescent="0.2">
      <c r="A141" s="29" t="s">
        <v>1311</v>
      </c>
      <c r="B141" s="27" t="s">
        <v>1409</v>
      </c>
      <c r="C141" s="22" t="s">
        <v>920</v>
      </c>
      <c r="D141" s="22"/>
      <c r="E141">
        <v>94.5</v>
      </c>
      <c r="F141" s="23"/>
      <c r="G141" s="23"/>
      <c r="H141" s="23"/>
      <c r="I141">
        <v>0.05</v>
      </c>
      <c r="J141" s="22">
        <v>7.4999999999999997E-2</v>
      </c>
      <c r="K141" s="22">
        <v>0.17499999999999999</v>
      </c>
      <c r="L141" s="22"/>
      <c r="M141" s="22"/>
      <c r="N141" s="23">
        <v>4.5</v>
      </c>
      <c r="O141" s="23">
        <v>0.35</v>
      </c>
      <c r="P141" s="22"/>
      <c r="Q141" s="22"/>
      <c r="R141" s="22"/>
      <c r="S141" s="23">
        <v>0.1</v>
      </c>
      <c r="T141" s="22"/>
      <c r="U141" s="22">
        <v>0.05</v>
      </c>
      <c r="V141" s="23"/>
      <c r="W141" s="22">
        <v>0.125</v>
      </c>
      <c r="X141" s="22"/>
      <c r="Y141" s="1">
        <f t="shared" si="8"/>
        <v>0.18763149999999998</v>
      </c>
      <c r="Z141" s="31" t="str">
        <f t="shared" si="9"/>
        <v>=</v>
      </c>
      <c r="AB141" s="31">
        <f>239+264</f>
        <v>503</v>
      </c>
      <c r="AC141">
        <f t="shared" si="10"/>
        <v>251.5</v>
      </c>
      <c r="AF141">
        <v>5.9</v>
      </c>
      <c r="AG141" s="36">
        <v>2655</v>
      </c>
      <c r="AH141">
        <v>251.5</v>
      </c>
      <c r="AJ141" s="22"/>
    </row>
    <row r="142" spans="1:36" x14ac:dyDescent="0.2">
      <c r="A142" s="29" t="s">
        <v>1311</v>
      </c>
      <c r="B142" s="27" t="s">
        <v>1409</v>
      </c>
      <c r="C142" s="22" t="s">
        <v>487</v>
      </c>
      <c r="D142" s="22"/>
      <c r="E142">
        <v>94.5</v>
      </c>
      <c r="F142" s="23"/>
      <c r="G142" s="23"/>
      <c r="H142" s="23"/>
      <c r="I142">
        <v>0.05</v>
      </c>
      <c r="J142" s="22">
        <v>7.4999999999999997E-2</v>
      </c>
      <c r="K142" s="22">
        <v>0.17499999999999999</v>
      </c>
      <c r="L142" s="22"/>
      <c r="M142" s="22"/>
      <c r="N142" s="23">
        <v>4.5</v>
      </c>
      <c r="O142" s="23">
        <v>0.35</v>
      </c>
      <c r="P142" s="22"/>
      <c r="Q142" s="22"/>
      <c r="R142" s="22"/>
      <c r="S142" s="23">
        <v>0.1</v>
      </c>
      <c r="T142" s="22"/>
      <c r="U142" s="22">
        <v>0.05</v>
      </c>
      <c r="V142" s="23"/>
      <c r="W142" s="22">
        <v>0.125</v>
      </c>
      <c r="X142" s="22"/>
      <c r="Y142" s="1">
        <f t="shared" si="8"/>
        <v>0.18763149999999998</v>
      </c>
      <c r="Z142" s="31" t="str">
        <f t="shared" si="9"/>
        <v>=</v>
      </c>
      <c r="AB142" s="31">
        <f>251+278</f>
        <v>529</v>
      </c>
      <c r="AC142">
        <f t="shared" si="10"/>
        <v>264.5</v>
      </c>
      <c r="AF142">
        <v>5.9</v>
      </c>
      <c r="AG142" s="36">
        <v>2655</v>
      </c>
      <c r="AH142">
        <v>264.5</v>
      </c>
      <c r="AJ142" s="22"/>
    </row>
    <row r="143" spans="1:36" x14ac:dyDescent="0.2">
      <c r="A143" s="29" t="s">
        <v>1311</v>
      </c>
      <c r="B143" s="27" t="s">
        <v>1409</v>
      </c>
      <c r="C143" s="22" t="s">
        <v>467</v>
      </c>
      <c r="D143" s="22"/>
      <c r="E143">
        <v>94.5</v>
      </c>
      <c r="F143" s="23"/>
      <c r="G143" s="23"/>
      <c r="H143" s="23"/>
      <c r="I143">
        <v>0.05</v>
      </c>
      <c r="J143" s="22">
        <v>7.4999999999999997E-2</v>
      </c>
      <c r="K143" s="22">
        <v>0.17499999999999999</v>
      </c>
      <c r="L143" s="22"/>
      <c r="M143" s="22"/>
      <c r="N143" s="23">
        <v>4.5</v>
      </c>
      <c r="O143" s="23">
        <v>0.35</v>
      </c>
      <c r="P143" s="22"/>
      <c r="Q143" s="22"/>
      <c r="R143" s="22"/>
      <c r="S143" s="23">
        <v>0.1</v>
      </c>
      <c r="T143" s="22"/>
      <c r="U143" s="22">
        <v>0.05</v>
      </c>
      <c r="V143" s="23"/>
      <c r="W143" s="22">
        <v>0.125</v>
      </c>
      <c r="X143" s="22"/>
      <c r="Y143" s="1">
        <f t="shared" si="8"/>
        <v>0.18763149999999998</v>
      </c>
      <c r="Z143" s="31" t="str">
        <f t="shared" si="9"/>
        <v>=</v>
      </c>
      <c r="AB143" s="31">
        <f>373+413</f>
        <v>786</v>
      </c>
      <c r="AC143">
        <f t="shared" si="10"/>
        <v>393</v>
      </c>
      <c r="AF143">
        <v>5.9</v>
      </c>
      <c r="AG143" s="36">
        <v>2655</v>
      </c>
      <c r="AH143">
        <v>393</v>
      </c>
      <c r="AJ143" s="22"/>
    </row>
    <row r="144" spans="1:36" x14ac:dyDescent="0.2">
      <c r="A144" s="29" t="s">
        <v>1311</v>
      </c>
      <c r="B144" s="27" t="s">
        <v>1409</v>
      </c>
      <c r="C144" s="22" t="s">
        <v>856</v>
      </c>
      <c r="D144" s="22"/>
      <c r="E144">
        <v>94.5</v>
      </c>
      <c r="F144" s="23"/>
      <c r="G144" s="23"/>
      <c r="H144" s="23"/>
      <c r="I144">
        <v>0.05</v>
      </c>
      <c r="J144" s="22">
        <v>7.4999999999999997E-2</v>
      </c>
      <c r="K144" s="22">
        <v>0.17499999999999999</v>
      </c>
      <c r="L144" s="22"/>
      <c r="M144" s="22"/>
      <c r="N144" s="23">
        <v>4.5</v>
      </c>
      <c r="O144" s="23">
        <v>0.35</v>
      </c>
      <c r="P144" s="22"/>
      <c r="Q144" s="22"/>
      <c r="R144" s="22"/>
      <c r="S144" s="23">
        <v>0.1</v>
      </c>
      <c r="T144" s="22"/>
      <c r="U144" s="22">
        <v>0.05</v>
      </c>
      <c r="V144" s="23"/>
      <c r="W144" s="22">
        <v>0.125</v>
      </c>
      <c r="X144" s="22"/>
      <c r="Y144" s="1">
        <f t="shared" si="8"/>
        <v>0.18763149999999998</v>
      </c>
      <c r="Z144" s="31" t="str">
        <f t="shared" si="9"/>
        <v>=</v>
      </c>
      <c r="AB144" s="31">
        <f>222+246</f>
        <v>468</v>
      </c>
      <c r="AC144">
        <f t="shared" si="10"/>
        <v>234</v>
      </c>
      <c r="AF144">
        <v>5.9</v>
      </c>
      <c r="AG144" s="36">
        <v>2655</v>
      </c>
      <c r="AH144">
        <v>234</v>
      </c>
      <c r="AJ144" s="22"/>
    </row>
    <row r="145" spans="1:36" x14ac:dyDescent="0.2">
      <c r="A145" s="29" t="s">
        <v>1311</v>
      </c>
      <c r="B145" s="27" t="s">
        <v>1409</v>
      </c>
      <c r="C145" s="22" t="s">
        <v>1004</v>
      </c>
      <c r="D145" s="22"/>
      <c r="E145">
        <v>94.5</v>
      </c>
      <c r="F145" s="23"/>
      <c r="G145" s="23"/>
      <c r="H145" s="23"/>
      <c r="I145">
        <v>0.05</v>
      </c>
      <c r="J145" s="22">
        <v>7.4999999999999997E-2</v>
      </c>
      <c r="K145" s="22">
        <v>0.17499999999999999</v>
      </c>
      <c r="L145" s="22"/>
      <c r="M145" s="22"/>
      <c r="N145" s="23">
        <v>4.5</v>
      </c>
      <c r="O145" s="23">
        <v>0.35</v>
      </c>
      <c r="P145" s="22"/>
      <c r="Q145" s="22"/>
      <c r="R145" s="22"/>
      <c r="S145" s="23">
        <v>0.1</v>
      </c>
      <c r="T145" s="22"/>
      <c r="U145" s="22">
        <v>0.05</v>
      </c>
      <c r="V145" s="23"/>
      <c r="W145" s="22">
        <v>0.125</v>
      </c>
      <c r="X145" s="22"/>
      <c r="Y145" s="1">
        <f t="shared" si="8"/>
        <v>0.18763149999999998</v>
      </c>
      <c r="Z145" s="31" t="str">
        <f t="shared" si="9"/>
        <v>=</v>
      </c>
      <c r="AB145" s="31">
        <f>269+297</f>
        <v>566</v>
      </c>
      <c r="AC145">
        <f t="shared" si="10"/>
        <v>283</v>
      </c>
      <c r="AF145">
        <v>5.9</v>
      </c>
      <c r="AG145" s="36">
        <v>2655</v>
      </c>
      <c r="AH145">
        <v>283</v>
      </c>
      <c r="AJ145" s="22"/>
    </row>
    <row r="146" spans="1:36" x14ac:dyDescent="0.2">
      <c r="A146" s="29" t="s">
        <v>1311</v>
      </c>
      <c r="B146" s="27" t="s">
        <v>1409</v>
      </c>
      <c r="C146" s="22" t="s">
        <v>481</v>
      </c>
      <c r="D146" s="22"/>
      <c r="E146">
        <v>94.5</v>
      </c>
      <c r="F146" s="23"/>
      <c r="G146" s="23"/>
      <c r="H146" s="23"/>
      <c r="I146">
        <v>0.05</v>
      </c>
      <c r="J146" s="22">
        <v>7.4999999999999997E-2</v>
      </c>
      <c r="K146" s="22">
        <v>0.17499999999999999</v>
      </c>
      <c r="L146" s="22"/>
      <c r="M146" s="22"/>
      <c r="N146" s="23">
        <v>4.5</v>
      </c>
      <c r="O146" s="23">
        <v>0.35</v>
      </c>
      <c r="P146" s="22"/>
      <c r="Q146" s="22"/>
      <c r="R146" s="22"/>
      <c r="S146" s="23">
        <v>0.1</v>
      </c>
      <c r="T146" s="22"/>
      <c r="U146" s="22">
        <v>0.05</v>
      </c>
      <c r="V146" s="23"/>
      <c r="W146" s="22">
        <v>0.125</v>
      </c>
      <c r="X146" s="22"/>
      <c r="Y146" s="1">
        <f t="shared" si="8"/>
        <v>0.18763149999999998</v>
      </c>
      <c r="Z146" s="31" t="str">
        <f t="shared" si="9"/>
        <v>=</v>
      </c>
      <c r="AB146" s="31">
        <f>136+150</f>
        <v>286</v>
      </c>
      <c r="AC146">
        <f t="shared" si="10"/>
        <v>143</v>
      </c>
      <c r="AF146">
        <v>5.9</v>
      </c>
      <c r="AG146" s="36">
        <v>2655</v>
      </c>
      <c r="AH146">
        <v>143</v>
      </c>
      <c r="AJ146" s="22"/>
    </row>
    <row r="147" spans="1:36" x14ac:dyDescent="0.2">
      <c r="A147" s="16" t="s">
        <v>1361</v>
      </c>
      <c r="B147" s="1" t="s">
        <v>1408</v>
      </c>
      <c r="C147" s="22" t="s">
        <v>502</v>
      </c>
      <c r="D147" s="22"/>
      <c r="E147">
        <v>96.800000000000011</v>
      </c>
      <c r="F147" s="23"/>
      <c r="G147" s="23"/>
      <c r="H147" s="23"/>
      <c r="I147">
        <v>7.4999999999999997E-2</v>
      </c>
      <c r="J147" s="22">
        <v>7.4999999999999997E-2</v>
      </c>
      <c r="K147" s="22">
        <v>0.25</v>
      </c>
      <c r="L147" s="22"/>
      <c r="M147" s="22"/>
      <c r="N147" s="23">
        <v>2.0499999999999998</v>
      </c>
      <c r="O147" s="23">
        <v>0.3</v>
      </c>
      <c r="P147" s="22"/>
      <c r="Q147" s="22"/>
      <c r="R147" s="22"/>
      <c r="S147" s="23">
        <v>0.2</v>
      </c>
      <c r="T147" s="22"/>
      <c r="U147" s="22">
        <v>7.4999999999999997E-2</v>
      </c>
      <c r="V147" s="23"/>
      <c r="W147" s="22">
        <v>7.4999999999999997E-2</v>
      </c>
      <c r="X147" s="22"/>
      <c r="Y147" s="1">
        <f t="shared" si="8"/>
        <v>9.0980749999999971E-2</v>
      </c>
      <c r="Z147" s="31" t="str">
        <f t="shared" si="9"/>
        <v>=</v>
      </c>
      <c r="AB147" s="31">
        <f>181+200</f>
        <v>381</v>
      </c>
      <c r="AC147">
        <f t="shared" si="10"/>
        <v>190.5</v>
      </c>
      <c r="AF147">
        <v>5.9</v>
      </c>
      <c r="AG147" s="36">
        <v>2690</v>
      </c>
      <c r="AH147">
        <v>190.5</v>
      </c>
      <c r="AJ147" s="22"/>
    </row>
    <row r="148" spans="1:36" x14ac:dyDescent="0.2">
      <c r="A148" s="16" t="s">
        <v>1361</v>
      </c>
      <c r="B148" s="1" t="s">
        <v>1408</v>
      </c>
      <c r="C148" s="22" t="s">
        <v>487</v>
      </c>
      <c r="D148" s="22"/>
      <c r="E148">
        <v>96.800000000000011</v>
      </c>
      <c r="F148" s="23"/>
      <c r="G148" s="23"/>
      <c r="H148" s="23"/>
      <c r="I148">
        <v>7.4999999999999997E-2</v>
      </c>
      <c r="J148" s="22">
        <v>7.4999999999999997E-2</v>
      </c>
      <c r="K148" s="22">
        <v>0.25</v>
      </c>
      <c r="L148" s="22"/>
      <c r="M148" s="22"/>
      <c r="N148" s="23">
        <v>2.0499999999999998</v>
      </c>
      <c r="O148" s="23">
        <v>0.3</v>
      </c>
      <c r="P148" s="22"/>
      <c r="Q148" s="22"/>
      <c r="R148" s="22"/>
      <c r="S148" s="23">
        <v>0.2</v>
      </c>
      <c r="T148" s="22"/>
      <c r="U148" s="22">
        <v>7.4999999999999997E-2</v>
      </c>
      <c r="V148" s="23"/>
      <c r="W148" s="22">
        <v>7.4999999999999997E-2</v>
      </c>
      <c r="X148" s="22"/>
      <c r="Y148" s="1">
        <f t="shared" si="8"/>
        <v>9.0980749999999971E-2</v>
      </c>
      <c r="Z148" s="31" t="str">
        <f t="shared" si="9"/>
        <v>=</v>
      </c>
      <c r="AB148" s="31">
        <f>228+252</f>
        <v>480</v>
      </c>
      <c r="AC148">
        <f t="shared" si="10"/>
        <v>240</v>
      </c>
      <c r="AF148">
        <v>5.9</v>
      </c>
      <c r="AG148" s="36">
        <v>2690</v>
      </c>
      <c r="AH148">
        <v>240</v>
      </c>
      <c r="AJ148" s="22"/>
    </row>
    <row r="149" spans="1:36" x14ac:dyDescent="0.2">
      <c r="A149" s="16" t="s">
        <v>1361</v>
      </c>
      <c r="B149" s="1" t="s">
        <v>1408</v>
      </c>
      <c r="C149" s="22" t="s">
        <v>481</v>
      </c>
      <c r="D149" s="22"/>
      <c r="E149">
        <v>96.800000000000011</v>
      </c>
      <c r="F149" s="23"/>
      <c r="G149" s="23"/>
      <c r="H149" s="23"/>
      <c r="I149">
        <v>7.4999999999999997E-2</v>
      </c>
      <c r="J149" s="22">
        <v>7.4999999999999997E-2</v>
      </c>
      <c r="K149" s="22">
        <v>0.25</v>
      </c>
      <c r="L149" s="22"/>
      <c r="M149" s="22"/>
      <c r="N149" s="23">
        <v>2.0499999999999998</v>
      </c>
      <c r="O149" s="23">
        <v>0.3</v>
      </c>
      <c r="P149" s="22"/>
      <c r="Q149" s="22"/>
      <c r="R149" s="22"/>
      <c r="S149" s="23">
        <v>0.2</v>
      </c>
      <c r="T149" s="22"/>
      <c r="U149" s="22">
        <v>7.4999999999999997E-2</v>
      </c>
      <c r="V149" s="23"/>
      <c r="W149" s="22">
        <v>7.4999999999999997E-2</v>
      </c>
      <c r="X149" s="22"/>
      <c r="Y149" s="1">
        <f t="shared" si="8"/>
        <v>9.0980749999999971E-2</v>
      </c>
      <c r="Z149" s="31" t="str">
        <f t="shared" si="9"/>
        <v>=</v>
      </c>
      <c r="AB149" s="31">
        <f>60+76</f>
        <v>136</v>
      </c>
      <c r="AC149">
        <f t="shared" si="10"/>
        <v>68</v>
      </c>
      <c r="AF149">
        <v>5.9</v>
      </c>
      <c r="AG149" s="36">
        <v>2690</v>
      </c>
      <c r="AH149">
        <v>68</v>
      </c>
      <c r="AJ149" s="22"/>
    </row>
    <row r="150" spans="1:36" x14ac:dyDescent="0.2">
      <c r="A150" s="16" t="s">
        <v>1362</v>
      </c>
      <c r="B150" s="1" t="s">
        <v>1407</v>
      </c>
      <c r="C150" s="22" t="s">
        <v>1063</v>
      </c>
      <c r="D150" s="22"/>
      <c r="E150">
        <v>95.7</v>
      </c>
      <c r="F150" s="23"/>
      <c r="G150" s="23"/>
      <c r="H150" s="23"/>
      <c r="I150">
        <v>0.125</v>
      </c>
      <c r="J150" s="22">
        <v>0.05</v>
      </c>
      <c r="K150" s="22">
        <v>0.2</v>
      </c>
      <c r="L150" s="22"/>
      <c r="M150" s="22"/>
      <c r="N150" s="23">
        <v>2.7</v>
      </c>
      <c r="O150" s="23">
        <v>3</v>
      </c>
      <c r="P150" s="22"/>
      <c r="Q150" s="22"/>
      <c r="R150" s="22"/>
      <c r="S150" s="23">
        <v>0.125</v>
      </c>
      <c r="T150" s="22"/>
      <c r="U150" s="22">
        <v>0.1</v>
      </c>
      <c r="V150" s="23"/>
      <c r="W150" s="22">
        <v>0.125</v>
      </c>
      <c r="X150" s="22"/>
      <c r="Y150" s="1">
        <f t="shared" si="8"/>
        <v>0.11659899999999999</v>
      </c>
      <c r="Z150" s="31" t="str">
        <f t="shared" si="9"/>
        <v>=</v>
      </c>
      <c r="AB150" s="31">
        <f>131+145</f>
        <v>276</v>
      </c>
      <c r="AC150">
        <f t="shared" si="10"/>
        <v>138</v>
      </c>
      <c r="AF150">
        <v>5.9</v>
      </c>
      <c r="AG150" s="36">
        <v>2685</v>
      </c>
      <c r="AH150">
        <v>138</v>
      </c>
      <c r="AJ150" s="22"/>
    </row>
    <row r="151" spans="1:36" x14ac:dyDescent="0.2">
      <c r="A151" s="16" t="s">
        <v>1362</v>
      </c>
      <c r="B151" s="1" t="s">
        <v>1407</v>
      </c>
      <c r="C151" s="22" t="s">
        <v>976</v>
      </c>
      <c r="D151" s="22"/>
      <c r="E151">
        <v>95.7</v>
      </c>
      <c r="F151" s="23"/>
      <c r="G151" s="23"/>
      <c r="H151" s="23"/>
      <c r="I151">
        <v>0.125</v>
      </c>
      <c r="J151" s="22">
        <v>0.05</v>
      </c>
      <c r="K151" s="22">
        <v>0.2</v>
      </c>
      <c r="L151" s="22"/>
      <c r="M151" s="22"/>
      <c r="N151" s="23">
        <v>2.7</v>
      </c>
      <c r="O151" s="23">
        <v>3</v>
      </c>
      <c r="P151" s="22"/>
      <c r="Q151" s="22"/>
      <c r="R151" s="22"/>
      <c r="S151" s="23">
        <v>0.125</v>
      </c>
      <c r="T151" s="22"/>
      <c r="U151" s="22">
        <v>0.1</v>
      </c>
      <c r="V151" s="23"/>
      <c r="W151" s="22">
        <v>0.125</v>
      </c>
      <c r="X151" s="22"/>
      <c r="Y151" s="1">
        <f t="shared" si="8"/>
        <v>0.11659899999999999</v>
      </c>
      <c r="Z151" s="31" t="str">
        <f t="shared" si="9"/>
        <v>=</v>
      </c>
      <c r="AB151" s="31">
        <f>83+124</f>
        <v>207</v>
      </c>
      <c r="AC151">
        <f t="shared" si="10"/>
        <v>103.5</v>
      </c>
      <c r="AF151">
        <v>5.9</v>
      </c>
      <c r="AG151" s="36">
        <v>2685</v>
      </c>
      <c r="AH151">
        <v>103.5</v>
      </c>
      <c r="AJ151" s="22"/>
    </row>
    <row r="152" spans="1:36" x14ac:dyDescent="0.2">
      <c r="A152" s="16" t="s">
        <v>1362</v>
      </c>
      <c r="B152" s="1" t="s">
        <v>1407</v>
      </c>
      <c r="C152" s="22" t="s">
        <v>1004</v>
      </c>
      <c r="D152" s="22"/>
      <c r="E152">
        <v>95.7</v>
      </c>
      <c r="F152" s="23"/>
      <c r="G152" s="23"/>
      <c r="H152" s="23"/>
      <c r="I152">
        <v>0.125</v>
      </c>
      <c r="J152" s="22">
        <v>0.05</v>
      </c>
      <c r="K152" s="22">
        <v>0.2</v>
      </c>
      <c r="L152" s="22"/>
      <c r="M152" s="22"/>
      <c r="N152" s="23">
        <v>2.7</v>
      </c>
      <c r="O152" s="23">
        <v>3</v>
      </c>
      <c r="P152" s="22"/>
      <c r="Q152" s="22"/>
      <c r="R152" s="22"/>
      <c r="S152" s="23">
        <v>0.125</v>
      </c>
      <c r="T152" s="22"/>
      <c r="U152" s="22">
        <v>0.1</v>
      </c>
      <c r="V152" s="23"/>
      <c r="W152" s="22">
        <v>0.125</v>
      </c>
      <c r="X152" s="22"/>
      <c r="Y152" s="1">
        <f t="shared" si="8"/>
        <v>0.11659899999999999</v>
      </c>
      <c r="Z152" s="31" t="str">
        <f t="shared" si="9"/>
        <v>=</v>
      </c>
      <c r="AB152" s="31">
        <f>195+215</f>
        <v>410</v>
      </c>
      <c r="AC152">
        <f t="shared" si="10"/>
        <v>205</v>
      </c>
      <c r="AF152">
        <v>5.9</v>
      </c>
      <c r="AG152" s="36">
        <v>2685</v>
      </c>
      <c r="AH152">
        <v>205</v>
      </c>
      <c r="AJ152" s="22"/>
    </row>
    <row r="153" spans="1:36" x14ac:dyDescent="0.2">
      <c r="A153" s="16" t="s">
        <v>1362</v>
      </c>
      <c r="B153" s="1" t="s">
        <v>1407</v>
      </c>
      <c r="C153" s="22" t="s">
        <v>502</v>
      </c>
      <c r="D153" s="22"/>
      <c r="E153">
        <v>95.7</v>
      </c>
      <c r="F153" s="23"/>
      <c r="G153" s="23"/>
      <c r="H153" s="23"/>
      <c r="I153">
        <v>0.125</v>
      </c>
      <c r="J153" s="22">
        <v>0.05</v>
      </c>
      <c r="K153" s="22">
        <v>0.2</v>
      </c>
      <c r="L153" s="22"/>
      <c r="M153" s="22"/>
      <c r="N153" s="23">
        <v>2.7</v>
      </c>
      <c r="O153" s="23">
        <v>3</v>
      </c>
      <c r="P153" s="22"/>
      <c r="Q153" s="22"/>
      <c r="R153" s="22"/>
      <c r="S153" s="23">
        <v>0.125</v>
      </c>
      <c r="T153" s="22"/>
      <c r="U153" s="22">
        <v>0.1</v>
      </c>
      <c r="V153" s="23"/>
      <c r="W153" s="22">
        <v>0.125</v>
      </c>
      <c r="X153" s="22"/>
      <c r="Y153" s="1">
        <f t="shared" si="8"/>
        <v>0.11659899999999999</v>
      </c>
      <c r="Z153" s="31" t="str">
        <f t="shared" si="9"/>
        <v>=</v>
      </c>
      <c r="AB153" s="31">
        <f>223+247</f>
        <v>470</v>
      </c>
      <c r="AC153">
        <f t="shared" si="10"/>
        <v>235</v>
      </c>
      <c r="AF153">
        <v>5.9</v>
      </c>
      <c r="AG153" s="36">
        <v>2685</v>
      </c>
      <c r="AH153">
        <v>235</v>
      </c>
      <c r="AJ153" s="22"/>
    </row>
    <row r="154" spans="1:36" x14ac:dyDescent="0.2">
      <c r="A154" s="16" t="s">
        <v>1362</v>
      </c>
      <c r="B154" s="1" t="s">
        <v>1407</v>
      </c>
      <c r="C154" s="22" t="s">
        <v>937</v>
      </c>
      <c r="D154" s="22"/>
      <c r="E154">
        <v>95.7</v>
      </c>
      <c r="F154" s="23"/>
      <c r="G154" s="23"/>
      <c r="H154" s="23"/>
      <c r="I154">
        <v>0.125</v>
      </c>
      <c r="J154" s="22">
        <v>0.05</v>
      </c>
      <c r="K154" s="22">
        <v>0.2</v>
      </c>
      <c r="L154" s="22"/>
      <c r="M154" s="22"/>
      <c r="N154" s="23">
        <v>2.7</v>
      </c>
      <c r="O154" s="23">
        <v>3</v>
      </c>
      <c r="P154" s="22"/>
      <c r="Q154" s="22"/>
      <c r="R154" s="22"/>
      <c r="S154" s="23">
        <v>0.125</v>
      </c>
      <c r="T154" s="22"/>
      <c r="U154" s="22">
        <v>0.1</v>
      </c>
      <c r="V154" s="23"/>
      <c r="W154" s="22">
        <v>0.125</v>
      </c>
      <c r="X154" s="22"/>
      <c r="Y154" s="1">
        <f t="shared" si="8"/>
        <v>0.11659899999999999</v>
      </c>
      <c r="Z154" s="31" t="str">
        <f t="shared" si="9"/>
        <v>=</v>
      </c>
      <c r="AB154" s="31">
        <f>165+186</f>
        <v>351</v>
      </c>
      <c r="AC154">
        <f t="shared" si="10"/>
        <v>175.5</v>
      </c>
      <c r="AF154">
        <v>5.9</v>
      </c>
      <c r="AG154" s="36">
        <v>2685</v>
      </c>
      <c r="AH154">
        <v>175.5</v>
      </c>
      <c r="AJ154" s="22"/>
    </row>
    <row r="155" spans="1:36" x14ac:dyDescent="0.2">
      <c r="A155" s="16" t="s">
        <v>1362</v>
      </c>
      <c r="B155" s="1" t="s">
        <v>1407</v>
      </c>
      <c r="C155" s="22" t="s">
        <v>984</v>
      </c>
      <c r="D155" s="22"/>
      <c r="E155">
        <v>95.7</v>
      </c>
      <c r="F155" s="23"/>
      <c r="G155" s="23"/>
      <c r="H155" s="23"/>
      <c r="I155">
        <v>0.125</v>
      </c>
      <c r="J155" s="22">
        <v>0.05</v>
      </c>
      <c r="K155" s="22">
        <v>0.2</v>
      </c>
      <c r="L155" s="22"/>
      <c r="M155" s="22"/>
      <c r="N155" s="23">
        <v>2.7</v>
      </c>
      <c r="O155" s="23">
        <v>3</v>
      </c>
      <c r="P155" s="22"/>
      <c r="Q155" s="22"/>
      <c r="R155" s="22"/>
      <c r="S155" s="23">
        <v>0.125</v>
      </c>
      <c r="T155" s="22"/>
      <c r="U155" s="22">
        <v>0.1</v>
      </c>
      <c r="V155" s="23"/>
      <c r="W155" s="22">
        <v>0.125</v>
      </c>
      <c r="X155" s="22"/>
      <c r="Y155" s="1">
        <f t="shared" si="8"/>
        <v>0.11659899999999999</v>
      </c>
      <c r="Z155" s="31" t="str">
        <f t="shared" si="9"/>
        <v>=</v>
      </c>
      <c r="AB155" s="31">
        <f>193+213</f>
        <v>406</v>
      </c>
      <c r="AC155">
        <f t="shared" si="10"/>
        <v>203</v>
      </c>
      <c r="AF155">
        <v>5.9</v>
      </c>
      <c r="AG155" s="36">
        <v>2685</v>
      </c>
      <c r="AH155">
        <v>203</v>
      </c>
      <c r="AJ155" s="22"/>
    </row>
    <row r="156" spans="1:36" x14ac:dyDescent="0.2">
      <c r="A156" s="16" t="s">
        <v>1362</v>
      </c>
      <c r="B156" s="1" t="s">
        <v>1407</v>
      </c>
      <c r="C156" s="22" t="s">
        <v>481</v>
      </c>
      <c r="D156" s="22"/>
      <c r="E156">
        <v>95.7</v>
      </c>
      <c r="F156" s="23"/>
      <c r="G156" s="23"/>
      <c r="H156" s="23"/>
      <c r="I156">
        <v>0.125</v>
      </c>
      <c r="J156" s="22">
        <v>0.05</v>
      </c>
      <c r="K156" s="22">
        <v>0.2</v>
      </c>
      <c r="L156" s="22"/>
      <c r="M156" s="22"/>
      <c r="N156" s="23">
        <v>2.7</v>
      </c>
      <c r="O156" s="23">
        <v>3</v>
      </c>
      <c r="P156" s="22"/>
      <c r="Q156" s="22"/>
      <c r="R156" s="22"/>
      <c r="S156" s="23">
        <v>0.125</v>
      </c>
      <c r="T156" s="22"/>
      <c r="U156" s="22">
        <v>0.1</v>
      </c>
      <c r="V156" s="23"/>
      <c r="W156" s="22">
        <v>0.125</v>
      </c>
      <c r="X156" s="22"/>
      <c r="Y156" s="1">
        <f t="shared" si="8"/>
        <v>0.11659899999999999</v>
      </c>
      <c r="Z156" s="31" t="str">
        <f t="shared" si="9"/>
        <v>=</v>
      </c>
      <c r="AB156" s="31">
        <f>83+91.7</f>
        <v>174.7</v>
      </c>
      <c r="AC156">
        <f t="shared" si="10"/>
        <v>87.35</v>
      </c>
      <c r="AF156">
        <v>5.9</v>
      </c>
      <c r="AG156" s="36">
        <v>2685</v>
      </c>
      <c r="AH156">
        <v>87.35</v>
      </c>
      <c r="AJ156" s="22"/>
    </row>
    <row r="157" spans="1:36" x14ac:dyDescent="0.2">
      <c r="A157" s="29" t="s">
        <v>1363</v>
      </c>
      <c r="B157" s="27" t="s">
        <v>1085</v>
      </c>
      <c r="C157" s="22" t="s">
        <v>1063</v>
      </c>
      <c r="D157" s="22"/>
      <c r="E157">
        <v>93.4</v>
      </c>
      <c r="F157" s="23"/>
      <c r="G157" s="23"/>
      <c r="H157" s="23"/>
      <c r="I157">
        <v>0.125</v>
      </c>
      <c r="J157" s="22">
        <v>0.05</v>
      </c>
      <c r="K157" s="22">
        <v>0.2</v>
      </c>
      <c r="L157" s="22"/>
      <c r="M157" s="22"/>
      <c r="N157" s="23">
        <v>5.0999999999999996</v>
      </c>
      <c r="O157" s="23">
        <v>0.75</v>
      </c>
      <c r="P157" s="22"/>
      <c r="Q157" s="22"/>
      <c r="R157" s="22"/>
      <c r="S157" s="23">
        <v>0.125</v>
      </c>
      <c r="T157" s="22"/>
      <c r="U157" s="22">
        <v>0.1</v>
      </c>
      <c r="V157" s="23"/>
      <c r="W157" s="22">
        <v>0.125</v>
      </c>
      <c r="X157" s="22"/>
      <c r="Y157" s="1">
        <f t="shared" si="8"/>
        <v>0.21456699999999998</v>
      </c>
      <c r="Z157" s="31" t="str">
        <f t="shared" si="9"/>
        <v>=</v>
      </c>
      <c r="AB157" s="31">
        <f>179+198</f>
        <v>377</v>
      </c>
      <c r="AC157">
        <f t="shared" si="10"/>
        <v>188.5</v>
      </c>
      <c r="AF157">
        <v>5.9</v>
      </c>
      <c r="AG157" s="36">
        <v>2655</v>
      </c>
      <c r="AH157">
        <v>188.5</v>
      </c>
      <c r="AJ157" s="22"/>
    </row>
    <row r="158" spans="1:36" x14ac:dyDescent="0.2">
      <c r="A158" s="29" t="s">
        <v>1363</v>
      </c>
      <c r="B158" s="27" t="s">
        <v>1085</v>
      </c>
      <c r="C158" s="22" t="s">
        <v>976</v>
      </c>
      <c r="D158" s="22"/>
      <c r="E158">
        <v>93.4</v>
      </c>
      <c r="F158" s="23"/>
      <c r="G158" s="23"/>
      <c r="H158" s="23"/>
      <c r="I158">
        <v>0.125</v>
      </c>
      <c r="J158" s="22">
        <v>0.05</v>
      </c>
      <c r="K158" s="22">
        <v>0.2</v>
      </c>
      <c r="L158" s="22"/>
      <c r="M158" s="22"/>
      <c r="N158" s="23">
        <v>5.0999999999999996</v>
      </c>
      <c r="O158" s="23">
        <v>0.75</v>
      </c>
      <c r="P158" s="22"/>
      <c r="Q158" s="22"/>
      <c r="R158" s="22"/>
      <c r="S158" s="23">
        <v>0.125</v>
      </c>
      <c r="T158" s="22"/>
      <c r="U158" s="22">
        <v>0.1</v>
      </c>
      <c r="V158" s="23"/>
      <c r="W158" s="22">
        <v>0.125</v>
      </c>
      <c r="X158" s="22"/>
      <c r="Y158" s="1">
        <f t="shared" si="8"/>
        <v>0.21456699999999998</v>
      </c>
      <c r="Z158" s="31" t="str">
        <f t="shared" si="9"/>
        <v>=</v>
      </c>
      <c r="AB158" s="31">
        <f>124+137</f>
        <v>261</v>
      </c>
      <c r="AC158">
        <f t="shared" si="10"/>
        <v>130.5</v>
      </c>
      <c r="AF158">
        <v>5.9</v>
      </c>
      <c r="AG158" s="36">
        <v>2655</v>
      </c>
      <c r="AH158">
        <v>130.5</v>
      </c>
      <c r="AJ158" s="22"/>
    </row>
    <row r="159" spans="1:36" x14ac:dyDescent="0.2">
      <c r="A159" s="29" t="s">
        <v>1363</v>
      </c>
      <c r="B159" s="27" t="s">
        <v>1406</v>
      </c>
      <c r="C159" s="22" t="s">
        <v>977</v>
      </c>
      <c r="D159" s="22"/>
      <c r="E159">
        <v>93.4</v>
      </c>
      <c r="F159" s="23"/>
      <c r="G159" s="23"/>
      <c r="H159" s="23"/>
      <c r="I159">
        <v>0.125</v>
      </c>
      <c r="J159" s="22">
        <v>0.05</v>
      </c>
      <c r="K159" s="22">
        <v>0.2</v>
      </c>
      <c r="L159" s="22"/>
      <c r="M159" s="22"/>
      <c r="N159" s="23">
        <v>5.0999999999999996</v>
      </c>
      <c r="O159" s="23">
        <v>0.75</v>
      </c>
      <c r="P159" s="22"/>
      <c r="Q159" s="22"/>
      <c r="R159" s="22"/>
      <c r="S159" s="23">
        <v>0.125</v>
      </c>
      <c r="T159" s="22"/>
      <c r="U159" s="22">
        <v>0.1</v>
      </c>
      <c r="V159" s="23"/>
      <c r="W159" s="22">
        <v>0.125</v>
      </c>
      <c r="X159" s="22"/>
      <c r="Y159" s="1">
        <f t="shared" si="8"/>
        <v>0.21456699999999998</v>
      </c>
      <c r="Z159" s="31" t="str">
        <f t="shared" si="9"/>
        <v>=</v>
      </c>
      <c r="AB159" s="31">
        <f>193+228</f>
        <v>421</v>
      </c>
      <c r="AC159">
        <f t="shared" si="10"/>
        <v>210.5</v>
      </c>
      <c r="AF159">
        <v>5.9</v>
      </c>
      <c r="AG159" s="36">
        <v>2655</v>
      </c>
      <c r="AH159">
        <v>210.5</v>
      </c>
      <c r="AJ159" s="22"/>
    </row>
    <row r="160" spans="1:36" x14ac:dyDescent="0.2">
      <c r="A160" s="29" t="s">
        <v>1363</v>
      </c>
      <c r="B160" s="27" t="s">
        <v>1085</v>
      </c>
      <c r="C160" s="22" t="s">
        <v>481</v>
      </c>
      <c r="D160" s="22"/>
      <c r="E160">
        <v>93.4</v>
      </c>
      <c r="F160" s="23"/>
      <c r="G160" s="23"/>
      <c r="H160" s="23"/>
      <c r="I160">
        <v>0.125</v>
      </c>
      <c r="J160" s="22">
        <v>0.05</v>
      </c>
      <c r="K160" s="22">
        <v>0.2</v>
      </c>
      <c r="L160" s="22"/>
      <c r="M160" s="22"/>
      <c r="N160" s="23">
        <v>5.0999999999999996</v>
      </c>
      <c r="O160" s="23">
        <v>0.75</v>
      </c>
      <c r="P160" s="22"/>
      <c r="Q160" s="22"/>
      <c r="R160" s="22"/>
      <c r="S160" s="23">
        <v>0.125</v>
      </c>
      <c r="T160" s="22"/>
      <c r="U160" s="22">
        <v>0.1</v>
      </c>
      <c r="V160" s="23"/>
      <c r="W160" s="22">
        <v>0.125</v>
      </c>
      <c r="X160" s="22"/>
      <c r="Y160" s="1">
        <f t="shared" si="8"/>
        <v>0.21456699999999998</v>
      </c>
      <c r="Z160" s="31" t="str">
        <f t="shared" si="9"/>
        <v>=</v>
      </c>
      <c r="AB160" s="31">
        <f>103+131</f>
        <v>234</v>
      </c>
      <c r="AC160">
        <f t="shared" si="10"/>
        <v>117</v>
      </c>
      <c r="AF160">
        <v>5.9</v>
      </c>
      <c r="AG160" s="36">
        <v>2655</v>
      </c>
      <c r="AH160">
        <v>117</v>
      </c>
      <c r="AJ160" s="22"/>
    </row>
    <row r="161" spans="1:36" x14ac:dyDescent="0.2">
      <c r="A161" s="16" t="s">
        <v>1364</v>
      </c>
      <c r="B161" s="1" t="s">
        <v>1405</v>
      </c>
      <c r="C161" s="22" t="s">
        <v>1004</v>
      </c>
      <c r="D161" s="22"/>
      <c r="E161">
        <v>95.800000000000011</v>
      </c>
      <c r="F161" s="23"/>
      <c r="G161" s="23"/>
      <c r="H161" s="23"/>
      <c r="I161">
        <v>0.15</v>
      </c>
      <c r="J161" s="22">
        <v>0.05</v>
      </c>
      <c r="K161" s="22">
        <v>0.2</v>
      </c>
      <c r="L161" s="22"/>
      <c r="M161" s="22"/>
      <c r="N161" s="23">
        <v>3.1</v>
      </c>
      <c r="O161" s="23">
        <v>0.25</v>
      </c>
      <c r="P161" s="22"/>
      <c r="Q161" s="22"/>
      <c r="R161" s="22"/>
      <c r="S161" s="23">
        <v>0.2</v>
      </c>
      <c r="T161" s="22"/>
      <c r="U161" s="22">
        <v>7.4999999999999997E-2</v>
      </c>
      <c r="V161" s="23"/>
      <c r="W161" s="22">
        <v>0.1</v>
      </c>
      <c r="X161" s="22"/>
      <c r="Y161" s="1">
        <f t="shared" si="8"/>
        <v>0.13559149999999998</v>
      </c>
      <c r="Z161" s="31" t="str">
        <f t="shared" si="9"/>
        <v>=</v>
      </c>
      <c r="AB161" s="31">
        <f>162+170</f>
        <v>332</v>
      </c>
      <c r="AC161">
        <f t="shared" si="10"/>
        <v>166</v>
      </c>
      <c r="AF161">
        <v>5.9</v>
      </c>
      <c r="AG161" s="36">
        <v>2680</v>
      </c>
      <c r="AH161">
        <v>166</v>
      </c>
      <c r="AJ161" s="22"/>
    </row>
    <row r="162" spans="1:36" x14ac:dyDescent="0.2">
      <c r="A162" s="16" t="s">
        <v>1364</v>
      </c>
      <c r="B162" s="1" t="s">
        <v>1405</v>
      </c>
      <c r="C162" s="22" t="s">
        <v>502</v>
      </c>
      <c r="D162" s="22"/>
      <c r="E162">
        <v>95.800000000000011</v>
      </c>
      <c r="F162" s="23"/>
      <c r="G162" s="23"/>
      <c r="H162" s="23"/>
      <c r="I162">
        <v>0.15</v>
      </c>
      <c r="J162" s="22">
        <v>0.05</v>
      </c>
      <c r="K162" s="22">
        <v>0.2</v>
      </c>
      <c r="L162" s="22"/>
      <c r="M162" s="22"/>
      <c r="N162" s="23">
        <v>3.1</v>
      </c>
      <c r="O162" s="23">
        <v>0.25</v>
      </c>
      <c r="P162" s="22"/>
      <c r="Q162" s="22"/>
      <c r="R162" s="22"/>
      <c r="S162" s="23">
        <v>0.2</v>
      </c>
      <c r="T162" s="22"/>
      <c r="U162" s="22">
        <v>7.4999999999999997E-2</v>
      </c>
      <c r="V162" s="23"/>
      <c r="W162" s="22">
        <v>0.1</v>
      </c>
      <c r="X162" s="22"/>
      <c r="Y162" s="1">
        <f t="shared" si="8"/>
        <v>0.13559149999999998</v>
      </c>
      <c r="Z162" s="31" t="str">
        <f t="shared" si="9"/>
        <v>=</v>
      </c>
      <c r="AB162" s="31">
        <f>184+194</f>
        <v>378</v>
      </c>
      <c r="AC162">
        <f t="shared" si="10"/>
        <v>189</v>
      </c>
      <c r="AF162">
        <v>5.9</v>
      </c>
      <c r="AG162" s="36">
        <v>2680</v>
      </c>
      <c r="AH162">
        <v>189</v>
      </c>
      <c r="AJ162" s="22"/>
    </row>
    <row r="163" spans="1:36" x14ac:dyDescent="0.2">
      <c r="A163" s="16" t="s">
        <v>1364</v>
      </c>
      <c r="B163" s="1" t="s">
        <v>1405</v>
      </c>
      <c r="C163" s="22" t="s">
        <v>920</v>
      </c>
      <c r="D163" s="22"/>
      <c r="E163">
        <v>95.800000000000011</v>
      </c>
      <c r="F163" s="23"/>
      <c r="G163" s="23"/>
      <c r="H163" s="23"/>
      <c r="I163">
        <v>0.15</v>
      </c>
      <c r="J163" s="22">
        <v>0.05</v>
      </c>
      <c r="K163" s="22">
        <v>0.2</v>
      </c>
      <c r="L163" s="22"/>
      <c r="M163" s="22"/>
      <c r="N163" s="23">
        <v>3.1</v>
      </c>
      <c r="O163" s="23">
        <v>0.25</v>
      </c>
      <c r="P163" s="22"/>
      <c r="Q163" s="22"/>
      <c r="R163" s="22"/>
      <c r="S163" s="23">
        <v>0.2</v>
      </c>
      <c r="T163" s="22"/>
      <c r="U163" s="22">
        <v>7.4999999999999997E-2</v>
      </c>
      <c r="V163" s="23"/>
      <c r="W163" s="22">
        <v>0.1</v>
      </c>
      <c r="X163" s="22"/>
      <c r="Y163" s="1">
        <f t="shared" si="8"/>
        <v>0.13559149999999998</v>
      </c>
      <c r="Z163" s="31" t="str">
        <f t="shared" si="9"/>
        <v>=</v>
      </c>
      <c r="AB163" s="31">
        <f>207+217</f>
        <v>424</v>
      </c>
      <c r="AC163">
        <f t="shared" si="10"/>
        <v>212</v>
      </c>
      <c r="AF163">
        <v>5.9</v>
      </c>
      <c r="AG163" s="36">
        <v>2680</v>
      </c>
      <c r="AH163">
        <v>212</v>
      </c>
      <c r="AJ163" s="22"/>
    </row>
    <row r="164" spans="1:36" x14ac:dyDescent="0.2">
      <c r="A164" s="16" t="s">
        <v>1364</v>
      </c>
      <c r="B164" s="1" t="s">
        <v>1405</v>
      </c>
      <c r="C164" s="22" t="s">
        <v>487</v>
      </c>
      <c r="D164" s="22"/>
      <c r="E164">
        <v>95.800000000000011</v>
      </c>
      <c r="F164" s="23"/>
      <c r="G164" s="23"/>
      <c r="H164" s="23"/>
      <c r="I164">
        <v>0.15</v>
      </c>
      <c r="J164" s="22">
        <v>0.05</v>
      </c>
      <c r="K164" s="22">
        <v>0.2</v>
      </c>
      <c r="L164" s="22"/>
      <c r="M164" s="22"/>
      <c r="N164" s="23">
        <v>3.1</v>
      </c>
      <c r="O164" s="23">
        <v>0.25</v>
      </c>
      <c r="P164" s="22"/>
      <c r="Q164" s="22"/>
      <c r="R164" s="22"/>
      <c r="S164" s="23">
        <v>0.2</v>
      </c>
      <c r="T164" s="22"/>
      <c r="U164" s="22">
        <v>7.4999999999999997E-2</v>
      </c>
      <c r="V164" s="23"/>
      <c r="W164" s="22">
        <v>0.1</v>
      </c>
      <c r="X164" s="22"/>
      <c r="Y164" s="1">
        <f t="shared" si="8"/>
        <v>0.13559149999999998</v>
      </c>
      <c r="Z164" s="31" t="str">
        <f t="shared" si="9"/>
        <v>=</v>
      </c>
      <c r="AB164" s="31">
        <f>232+244</f>
        <v>476</v>
      </c>
      <c r="AC164">
        <f t="shared" si="10"/>
        <v>238</v>
      </c>
      <c r="AF164">
        <v>5.9</v>
      </c>
      <c r="AG164" s="36">
        <v>2680</v>
      </c>
      <c r="AH164">
        <v>238</v>
      </c>
      <c r="AJ164" s="22"/>
    </row>
    <row r="165" spans="1:36" x14ac:dyDescent="0.2">
      <c r="A165" s="16" t="s">
        <v>1364</v>
      </c>
      <c r="B165" s="1" t="s">
        <v>1405</v>
      </c>
      <c r="C165" s="22" t="s">
        <v>467</v>
      </c>
      <c r="D165" s="22"/>
      <c r="E165">
        <v>95.800000000000011</v>
      </c>
      <c r="F165" s="23"/>
      <c r="G165" s="23"/>
      <c r="H165" s="23"/>
      <c r="I165">
        <v>0.15</v>
      </c>
      <c r="J165" s="22">
        <v>0.05</v>
      </c>
      <c r="K165" s="22">
        <v>0.2</v>
      </c>
      <c r="L165" s="22"/>
      <c r="M165" s="22"/>
      <c r="N165" s="23">
        <v>3.1</v>
      </c>
      <c r="O165" s="23">
        <v>0.25</v>
      </c>
      <c r="P165" s="22"/>
      <c r="Q165" s="22"/>
      <c r="R165" s="22"/>
      <c r="S165" s="23">
        <v>0.2</v>
      </c>
      <c r="T165" s="22"/>
      <c r="U165" s="22">
        <v>7.4999999999999997E-2</v>
      </c>
      <c r="V165" s="23"/>
      <c r="W165" s="22">
        <v>0.1</v>
      </c>
      <c r="X165" s="22"/>
      <c r="Y165" s="1">
        <f t="shared" si="8"/>
        <v>0.13559149999999998</v>
      </c>
      <c r="Z165" s="31" t="str">
        <f t="shared" si="9"/>
        <v>=</v>
      </c>
      <c r="AB165" s="31">
        <f>270+283</f>
        <v>553</v>
      </c>
      <c r="AC165">
        <f t="shared" si="10"/>
        <v>276.5</v>
      </c>
      <c r="AF165">
        <v>5.9</v>
      </c>
      <c r="AG165" s="36">
        <v>2680</v>
      </c>
      <c r="AH165">
        <v>276.5</v>
      </c>
      <c r="AJ165" s="22"/>
    </row>
    <row r="166" spans="1:36" x14ac:dyDescent="0.2">
      <c r="A166" s="16" t="s">
        <v>1365</v>
      </c>
      <c r="B166" s="1" t="s">
        <v>1405</v>
      </c>
      <c r="C166" s="22" t="s">
        <v>481</v>
      </c>
      <c r="D166" s="22"/>
      <c r="E166">
        <v>95.800000000000011</v>
      </c>
      <c r="F166" s="23"/>
      <c r="G166" s="23"/>
      <c r="H166" s="23"/>
      <c r="I166">
        <v>0.15</v>
      </c>
      <c r="J166" s="22">
        <v>0.05</v>
      </c>
      <c r="K166" s="22">
        <v>0.2</v>
      </c>
      <c r="L166" s="22"/>
      <c r="M166" s="22"/>
      <c r="N166" s="23">
        <v>3.1</v>
      </c>
      <c r="O166" s="23">
        <v>0.25</v>
      </c>
      <c r="P166" s="22"/>
      <c r="Q166" s="22"/>
      <c r="R166" s="22"/>
      <c r="S166" s="23">
        <v>0.2</v>
      </c>
      <c r="T166" s="22"/>
      <c r="U166" s="22">
        <v>7.4999999999999997E-2</v>
      </c>
      <c r="V166" s="23"/>
      <c r="W166" s="22">
        <v>0.1</v>
      </c>
      <c r="X166" s="22"/>
      <c r="Y166" s="1">
        <f t="shared" si="8"/>
        <v>0.13559149999999998</v>
      </c>
      <c r="Z166" s="31" t="str">
        <f t="shared" si="9"/>
        <v>=</v>
      </c>
      <c r="AB166" s="31">
        <f>95+105</f>
        <v>200</v>
      </c>
      <c r="AC166">
        <f t="shared" si="10"/>
        <v>100</v>
      </c>
      <c r="AF166">
        <v>5.9</v>
      </c>
      <c r="AG166" s="36">
        <v>2680</v>
      </c>
      <c r="AH166">
        <v>100</v>
      </c>
      <c r="AJ166" s="22"/>
    </row>
    <row r="167" spans="1:36" x14ac:dyDescent="0.2">
      <c r="A167" s="16" t="s">
        <v>1366</v>
      </c>
      <c r="B167" s="1" t="s">
        <v>1404</v>
      </c>
      <c r="C167" s="22" t="s">
        <v>1141</v>
      </c>
      <c r="D167" s="22"/>
      <c r="E167">
        <v>98.25</v>
      </c>
      <c r="F167" s="23"/>
      <c r="G167" s="23"/>
      <c r="H167" s="23"/>
      <c r="I167">
        <v>0.05</v>
      </c>
      <c r="J167" s="22">
        <v>0.05</v>
      </c>
      <c r="K167" s="22">
        <v>0.17499999999999999</v>
      </c>
      <c r="L167" s="22"/>
      <c r="M167" s="22"/>
      <c r="N167" s="23">
        <v>0.5</v>
      </c>
      <c r="O167" s="23">
        <v>0.05</v>
      </c>
      <c r="P167" s="22"/>
      <c r="Q167" s="22"/>
      <c r="R167" s="22"/>
      <c r="S167" s="23">
        <v>0.75</v>
      </c>
      <c r="T167" s="22"/>
      <c r="U167" s="22">
        <v>0.05</v>
      </c>
      <c r="V167" s="23"/>
      <c r="W167" s="22">
        <v>0.05</v>
      </c>
      <c r="X167" s="22"/>
      <c r="Y167" s="1">
        <f t="shared" si="8"/>
        <v>4.2388999999999996E-2</v>
      </c>
      <c r="Z167" s="31" t="str">
        <f t="shared" si="9"/>
        <v>=</v>
      </c>
      <c r="AB167" s="31">
        <f>105+122</f>
        <v>227</v>
      </c>
      <c r="AC167">
        <f t="shared" si="10"/>
        <v>113.5</v>
      </c>
      <c r="AF167">
        <v>5.9</v>
      </c>
      <c r="AG167" s="36">
        <v>2705</v>
      </c>
      <c r="AH167">
        <v>113.5</v>
      </c>
      <c r="AJ167" s="22"/>
    </row>
    <row r="168" spans="1:36" x14ac:dyDescent="0.2">
      <c r="A168" s="16" t="s">
        <v>1366</v>
      </c>
      <c r="B168" s="1" t="s">
        <v>1404</v>
      </c>
      <c r="C168" s="22" t="s">
        <v>1142</v>
      </c>
      <c r="D168" s="22"/>
      <c r="E168">
        <v>98.25</v>
      </c>
      <c r="F168" s="23"/>
      <c r="G168" s="23"/>
      <c r="H168" s="23"/>
      <c r="I168">
        <v>0.05</v>
      </c>
      <c r="J168" s="22">
        <v>0.05</v>
      </c>
      <c r="K168" s="22">
        <v>0.17499999999999999</v>
      </c>
      <c r="L168" s="22"/>
      <c r="M168" s="22"/>
      <c r="N168" s="23">
        <v>0.5</v>
      </c>
      <c r="O168" s="23">
        <v>0.05</v>
      </c>
      <c r="P168" s="22"/>
      <c r="Q168" s="22"/>
      <c r="R168" s="22"/>
      <c r="S168" s="23">
        <v>0.75</v>
      </c>
      <c r="T168" s="22"/>
      <c r="U168" s="22">
        <v>0.05</v>
      </c>
      <c r="V168" s="23"/>
      <c r="W168" s="22">
        <v>0.05</v>
      </c>
      <c r="X168" s="22"/>
      <c r="Y168" s="1">
        <f t="shared" si="8"/>
        <v>4.2388999999999996E-2</v>
      </c>
      <c r="Z168" s="31" t="str">
        <f t="shared" si="9"/>
        <v>=</v>
      </c>
      <c r="AB168" s="31">
        <f>240+280</f>
        <v>520</v>
      </c>
      <c r="AC168">
        <f t="shared" si="10"/>
        <v>260</v>
      </c>
      <c r="AF168">
        <v>5.9</v>
      </c>
      <c r="AG168" s="36">
        <v>2705</v>
      </c>
      <c r="AH168">
        <v>260</v>
      </c>
      <c r="AJ168" s="22"/>
    </row>
    <row r="169" spans="1:36" x14ac:dyDescent="0.2">
      <c r="A169" s="16" t="s">
        <v>1367</v>
      </c>
      <c r="B169" s="1" t="s">
        <v>1403</v>
      </c>
      <c r="C169" s="22" t="s">
        <v>1141</v>
      </c>
      <c r="D169" s="22"/>
      <c r="E169">
        <v>97.8</v>
      </c>
      <c r="F169" s="23"/>
      <c r="G169" s="23"/>
      <c r="H169" s="23"/>
      <c r="I169">
        <v>0.15</v>
      </c>
      <c r="J169" s="22">
        <v>0.15</v>
      </c>
      <c r="K169" s="22">
        <v>0.17499999999999999</v>
      </c>
      <c r="L169" s="22"/>
      <c r="M169" s="22"/>
      <c r="N169" s="23">
        <v>0.55000000000000004</v>
      </c>
      <c r="O169" s="23">
        <v>0.25</v>
      </c>
      <c r="P169" s="22"/>
      <c r="Q169" s="22"/>
      <c r="R169" s="22"/>
      <c r="S169" s="23">
        <v>0.7</v>
      </c>
      <c r="T169" s="22"/>
      <c r="U169" s="22">
        <v>0.05</v>
      </c>
      <c r="V169" s="23"/>
      <c r="W169" s="22">
        <v>0.1</v>
      </c>
      <c r="X169" s="22"/>
      <c r="Y169" s="1">
        <f t="shared" si="8"/>
        <v>4.5375499999999999E-2</v>
      </c>
      <c r="Z169" s="31" t="str">
        <f t="shared" si="9"/>
        <v>=</v>
      </c>
      <c r="AB169" s="31">
        <f>100+117</f>
        <v>217</v>
      </c>
      <c r="AC169">
        <f t="shared" si="10"/>
        <v>108.5</v>
      </c>
      <c r="AF169">
        <v>5.9</v>
      </c>
      <c r="AG169" s="36">
        <v>2710</v>
      </c>
      <c r="AH169">
        <v>108.5</v>
      </c>
      <c r="AJ169" s="22"/>
    </row>
    <row r="170" spans="1:36" x14ac:dyDescent="0.2">
      <c r="A170" s="16" t="s">
        <v>1367</v>
      </c>
      <c r="B170" s="1" t="s">
        <v>1403</v>
      </c>
      <c r="C170" s="22" t="s">
        <v>1143</v>
      </c>
      <c r="D170" s="22"/>
      <c r="E170">
        <v>97.8</v>
      </c>
      <c r="F170" s="23"/>
      <c r="G170" s="23"/>
      <c r="H170" s="23"/>
      <c r="I170">
        <v>0.15</v>
      </c>
      <c r="J170" s="22">
        <v>0.15</v>
      </c>
      <c r="K170" s="22">
        <v>0.17499999999999999</v>
      </c>
      <c r="L170" s="22"/>
      <c r="M170" s="22"/>
      <c r="N170" s="23">
        <v>0.55000000000000004</v>
      </c>
      <c r="O170" s="23">
        <v>0.25</v>
      </c>
      <c r="P170" s="22"/>
      <c r="Q170" s="22"/>
      <c r="R170" s="22"/>
      <c r="S170" s="23">
        <v>0.7</v>
      </c>
      <c r="T170" s="22"/>
      <c r="U170" s="22">
        <v>0.05</v>
      </c>
      <c r="V170" s="23"/>
      <c r="W170" s="22">
        <v>0.1</v>
      </c>
      <c r="X170" s="22"/>
      <c r="Y170" s="1">
        <f t="shared" si="8"/>
        <v>4.5375499999999999E-2</v>
      </c>
      <c r="Z170" s="31" t="str">
        <f t="shared" si="9"/>
        <v>=</v>
      </c>
      <c r="AB170" s="31">
        <f>102+119</f>
        <v>221</v>
      </c>
      <c r="AC170">
        <f t="shared" si="10"/>
        <v>110.5</v>
      </c>
      <c r="AF170">
        <v>5.9</v>
      </c>
      <c r="AG170" s="36">
        <v>2710</v>
      </c>
      <c r="AH170">
        <v>110.5</v>
      </c>
      <c r="AJ170" s="22"/>
    </row>
    <row r="171" spans="1:36" x14ac:dyDescent="0.2">
      <c r="A171" s="16" t="s">
        <v>1367</v>
      </c>
      <c r="B171" s="1" t="s">
        <v>1403</v>
      </c>
      <c r="C171" s="22" t="s">
        <v>1142</v>
      </c>
      <c r="D171" s="22"/>
      <c r="E171">
        <v>97.8</v>
      </c>
      <c r="F171" s="23"/>
      <c r="G171" s="23"/>
      <c r="H171" s="23"/>
      <c r="I171">
        <v>0.15</v>
      </c>
      <c r="J171" s="22">
        <v>0.15</v>
      </c>
      <c r="K171" s="22">
        <v>0.17499999999999999</v>
      </c>
      <c r="L171" s="22"/>
      <c r="M171" s="22"/>
      <c r="N171" s="23">
        <v>0.55000000000000004</v>
      </c>
      <c r="O171" s="23">
        <v>0.25</v>
      </c>
      <c r="P171" s="22"/>
      <c r="Q171" s="22"/>
      <c r="R171" s="22"/>
      <c r="S171" s="23">
        <v>0.7</v>
      </c>
      <c r="T171" s="22"/>
      <c r="U171" s="22">
        <v>0.05</v>
      </c>
      <c r="V171" s="23"/>
      <c r="W171" s="22">
        <v>0.1</v>
      </c>
      <c r="X171" s="22"/>
      <c r="Y171" s="1">
        <f t="shared" si="8"/>
        <v>4.5375499999999999E-2</v>
      </c>
      <c r="Z171" s="31" t="str">
        <f t="shared" si="9"/>
        <v>=</v>
      </c>
      <c r="AB171" s="31">
        <f>200+233</f>
        <v>433</v>
      </c>
      <c r="AC171">
        <f t="shared" si="10"/>
        <v>216.5</v>
      </c>
      <c r="AF171">
        <v>5.9</v>
      </c>
      <c r="AG171" s="36">
        <v>2710</v>
      </c>
      <c r="AH171">
        <v>216.5</v>
      </c>
      <c r="AJ171" s="22"/>
    </row>
    <row r="172" spans="1:36" x14ac:dyDescent="0.2">
      <c r="A172" s="16" t="s">
        <v>1367</v>
      </c>
      <c r="B172" s="1" t="s">
        <v>1403</v>
      </c>
      <c r="C172" s="22" t="s">
        <v>294</v>
      </c>
      <c r="D172" s="22"/>
      <c r="E172">
        <v>97.8</v>
      </c>
      <c r="F172" s="23"/>
      <c r="G172" s="23"/>
      <c r="H172" s="23"/>
      <c r="I172">
        <v>0.15</v>
      </c>
      <c r="J172" s="22">
        <v>0.15</v>
      </c>
      <c r="K172" s="22">
        <v>0.17499999999999999</v>
      </c>
      <c r="L172" s="22"/>
      <c r="M172" s="22"/>
      <c r="N172" s="23">
        <v>0.55000000000000004</v>
      </c>
      <c r="O172" s="23">
        <v>0.25</v>
      </c>
      <c r="P172" s="22"/>
      <c r="Q172" s="22"/>
      <c r="R172" s="22"/>
      <c r="S172" s="23">
        <v>0.7</v>
      </c>
      <c r="T172" s="22"/>
      <c r="U172" s="22">
        <v>0.05</v>
      </c>
      <c r="V172" s="23"/>
      <c r="W172" s="22">
        <v>0.1</v>
      </c>
      <c r="X172" s="22"/>
      <c r="Y172" s="1">
        <f t="shared" si="8"/>
        <v>4.5375499999999999E-2</v>
      </c>
      <c r="Z172" s="31" t="str">
        <f t="shared" si="9"/>
        <v>=</v>
      </c>
      <c r="AB172" s="31">
        <f>225+262</f>
        <v>487</v>
      </c>
      <c r="AC172">
        <f t="shared" si="10"/>
        <v>243.5</v>
      </c>
      <c r="AF172">
        <v>5.9</v>
      </c>
      <c r="AG172" s="36">
        <v>2710</v>
      </c>
      <c r="AH172">
        <v>243.5</v>
      </c>
      <c r="AJ172" s="22"/>
    </row>
    <row r="173" spans="1:36" x14ac:dyDescent="0.2">
      <c r="A173" s="16" t="s">
        <v>1368</v>
      </c>
      <c r="B173" s="1" t="s">
        <v>1401</v>
      </c>
      <c r="C173" s="22" t="s">
        <v>481</v>
      </c>
      <c r="D173" s="22"/>
      <c r="E173">
        <v>97.15</v>
      </c>
      <c r="F173" s="23"/>
      <c r="G173" s="23"/>
      <c r="H173" s="23"/>
      <c r="I173">
        <v>0.05</v>
      </c>
      <c r="J173" s="22">
        <v>0.375</v>
      </c>
      <c r="K173" s="22">
        <v>0.25</v>
      </c>
      <c r="L173" s="22"/>
      <c r="M173" s="22"/>
      <c r="N173" s="23">
        <v>0.60000000000000009</v>
      </c>
      <c r="O173" s="23">
        <v>0.5</v>
      </c>
      <c r="P173" s="22"/>
      <c r="Q173" s="22"/>
      <c r="R173" s="22"/>
      <c r="S173" s="23">
        <v>0.8</v>
      </c>
      <c r="T173" s="22"/>
      <c r="U173" s="22">
        <v>0.05</v>
      </c>
      <c r="V173" s="23"/>
      <c r="W173" s="22">
        <v>0.125</v>
      </c>
      <c r="X173" s="22"/>
      <c r="Y173" s="1">
        <f t="shared" si="8"/>
        <v>4.7858500000000005E-2</v>
      </c>
      <c r="Z173" s="31" t="str">
        <f t="shared" si="9"/>
        <v>=</v>
      </c>
      <c r="AB173" s="31">
        <f>55+61</f>
        <v>116</v>
      </c>
      <c r="AC173">
        <f t="shared" si="10"/>
        <v>58</v>
      </c>
      <c r="AF173">
        <v>5.9</v>
      </c>
      <c r="AG173" s="36">
        <v>2710</v>
      </c>
      <c r="AH173">
        <v>58</v>
      </c>
      <c r="AJ173" s="22"/>
    </row>
    <row r="174" spans="1:36" x14ac:dyDescent="0.2">
      <c r="A174" s="16" t="s">
        <v>1368</v>
      </c>
      <c r="B174" s="1" t="s">
        <v>1402</v>
      </c>
      <c r="C174" s="22" t="s">
        <v>1143</v>
      </c>
      <c r="D174" s="22"/>
      <c r="E174">
        <v>97.15</v>
      </c>
      <c r="F174" s="23"/>
      <c r="G174" s="23"/>
      <c r="H174" s="23"/>
      <c r="I174">
        <v>0.05</v>
      </c>
      <c r="J174" s="22">
        <v>0.375</v>
      </c>
      <c r="K174" s="22">
        <v>0.25</v>
      </c>
      <c r="L174" s="22"/>
      <c r="M174" s="22"/>
      <c r="N174" s="23">
        <v>0.60000000000000009</v>
      </c>
      <c r="O174" s="23">
        <v>0.5</v>
      </c>
      <c r="P174" s="22"/>
      <c r="Q174" s="22"/>
      <c r="R174" s="22"/>
      <c r="S174" s="23">
        <v>0.8</v>
      </c>
      <c r="T174" s="22"/>
      <c r="U174" s="22">
        <v>0.05</v>
      </c>
      <c r="V174" s="23"/>
      <c r="W174" s="22">
        <v>0.125</v>
      </c>
      <c r="X174" s="22"/>
      <c r="Y174" s="1">
        <f t="shared" si="8"/>
        <v>4.7858500000000005E-2</v>
      </c>
      <c r="Z174" s="31" t="str">
        <f t="shared" si="9"/>
        <v>=</v>
      </c>
      <c r="AB174" s="31">
        <f>120+132</f>
        <v>252</v>
      </c>
      <c r="AC174">
        <f t="shared" si="10"/>
        <v>126</v>
      </c>
      <c r="AF174">
        <v>5.9</v>
      </c>
      <c r="AG174" s="36">
        <v>2710</v>
      </c>
      <c r="AH174">
        <v>126</v>
      </c>
      <c r="AJ174" s="22"/>
    </row>
    <row r="175" spans="1:36" x14ac:dyDescent="0.2">
      <c r="A175" s="16" t="s">
        <v>1368</v>
      </c>
      <c r="B175" s="1" t="s">
        <v>1402</v>
      </c>
      <c r="C175" s="22" t="s">
        <v>294</v>
      </c>
      <c r="D175" s="22"/>
      <c r="E175">
        <v>97.15</v>
      </c>
      <c r="F175" s="23"/>
      <c r="G175" s="23"/>
      <c r="H175" s="23"/>
      <c r="I175">
        <v>0.05</v>
      </c>
      <c r="J175" s="22">
        <v>0.375</v>
      </c>
      <c r="K175" s="22">
        <v>0.25</v>
      </c>
      <c r="L175" s="22"/>
      <c r="M175" s="22"/>
      <c r="N175" s="23">
        <v>0.60000000000000009</v>
      </c>
      <c r="O175" s="23">
        <v>0.5</v>
      </c>
      <c r="P175" s="22"/>
      <c r="Q175" s="22"/>
      <c r="R175" s="22"/>
      <c r="S175" s="23">
        <v>0.8</v>
      </c>
      <c r="T175" s="22"/>
      <c r="U175" s="22">
        <v>0.05</v>
      </c>
      <c r="V175" s="23"/>
      <c r="W175" s="22">
        <v>0.125</v>
      </c>
      <c r="X175" s="22"/>
      <c r="Y175" s="1">
        <f t="shared" si="8"/>
        <v>4.7858500000000005E-2</v>
      </c>
      <c r="Z175" s="31" t="str">
        <f t="shared" si="9"/>
        <v>=</v>
      </c>
      <c r="AB175" s="31">
        <f>295+326</f>
        <v>621</v>
      </c>
      <c r="AC175">
        <f t="shared" si="10"/>
        <v>310.5</v>
      </c>
      <c r="AF175">
        <v>5.9</v>
      </c>
      <c r="AG175" s="36">
        <v>2710</v>
      </c>
      <c r="AH175">
        <v>310.5</v>
      </c>
      <c r="AJ175" s="22"/>
    </row>
    <row r="176" spans="1:36" x14ac:dyDescent="0.2">
      <c r="A176" s="16" t="s">
        <v>1368</v>
      </c>
      <c r="B176" s="1" t="s">
        <v>1401</v>
      </c>
      <c r="C176" s="22" t="s">
        <v>529</v>
      </c>
      <c r="D176" s="22"/>
      <c r="E176">
        <v>97.15</v>
      </c>
      <c r="F176" s="23"/>
      <c r="G176" s="23"/>
      <c r="H176" s="23"/>
      <c r="I176">
        <v>0.05</v>
      </c>
      <c r="J176" s="22">
        <v>0.375</v>
      </c>
      <c r="K176" s="22">
        <v>0.25</v>
      </c>
      <c r="L176" s="22"/>
      <c r="M176" s="22"/>
      <c r="N176" s="23">
        <v>0.60000000000000009</v>
      </c>
      <c r="O176" s="23">
        <v>0.5</v>
      </c>
      <c r="P176" s="22"/>
      <c r="Q176" s="22"/>
      <c r="R176" s="22"/>
      <c r="S176" s="23">
        <v>0.8</v>
      </c>
      <c r="T176" s="22"/>
      <c r="U176" s="22">
        <v>0.05</v>
      </c>
      <c r="V176" s="23"/>
      <c r="W176" s="22">
        <v>0.125</v>
      </c>
      <c r="X176" s="22"/>
      <c r="Y176" s="1">
        <f t="shared" si="8"/>
        <v>4.7858500000000005E-2</v>
      </c>
      <c r="Z176" s="31" t="str">
        <f t="shared" si="9"/>
        <v>=</v>
      </c>
      <c r="AB176" s="31">
        <f>247+273</f>
        <v>520</v>
      </c>
      <c r="AC176">
        <f t="shared" si="10"/>
        <v>260</v>
      </c>
      <c r="AF176">
        <v>5.9</v>
      </c>
      <c r="AG176" s="36">
        <v>2710</v>
      </c>
      <c r="AH176">
        <v>260</v>
      </c>
      <c r="AJ176" s="22"/>
    </row>
    <row r="177" spans="1:36" x14ac:dyDescent="0.2">
      <c r="A177" s="16" t="s">
        <v>1369</v>
      </c>
      <c r="B177" s="1" t="s">
        <v>1399</v>
      </c>
      <c r="C177" s="22" t="s">
        <v>481</v>
      </c>
      <c r="D177" s="22"/>
      <c r="E177">
        <v>96.75</v>
      </c>
      <c r="F177" s="23"/>
      <c r="G177" s="23"/>
      <c r="H177" s="23"/>
      <c r="I177">
        <v>0.05</v>
      </c>
      <c r="J177" s="22">
        <v>0.375</v>
      </c>
      <c r="K177" s="22">
        <v>0.25</v>
      </c>
      <c r="L177" s="22"/>
      <c r="M177" s="22"/>
      <c r="N177" s="23">
        <v>0.8</v>
      </c>
      <c r="O177" s="23">
        <v>0.5</v>
      </c>
      <c r="P177" s="22"/>
      <c r="Q177" s="22"/>
      <c r="R177" s="22"/>
      <c r="S177" s="23">
        <v>1</v>
      </c>
      <c r="T177" s="22"/>
      <c r="U177" s="22">
        <v>0.05</v>
      </c>
      <c r="V177" s="23"/>
      <c r="W177" s="22">
        <v>0.125</v>
      </c>
      <c r="X177" s="22"/>
      <c r="Y177" s="1">
        <f t="shared" si="8"/>
        <v>6.1572500000000002E-2</v>
      </c>
      <c r="Z177" s="31" t="str">
        <f t="shared" si="9"/>
        <v>=</v>
      </c>
      <c r="AB177" s="31">
        <f>58+64</f>
        <v>122</v>
      </c>
      <c r="AC177">
        <f t="shared" si="10"/>
        <v>61</v>
      </c>
      <c r="AF177">
        <v>5.9</v>
      </c>
      <c r="AG177" s="36">
        <v>2715</v>
      </c>
      <c r="AH177">
        <v>61</v>
      </c>
      <c r="AJ177" s="22"/>
    </row>
    <row r="178" spans="1:36" x14ac:dyDescent="0.2">
      <c r="A178" s="16" t="s">
        <v>1369</v>
      </c>
      <c r="B178" s="1" t="s">
        <v>1400</v>
      </c>
      <c r="C178" s="22" t="s">
        <v>1143</v>
      </c>
      <c r="D178" s="22"/>
      <c r="E178">
        <v>96.75</v>
      </c>
      <c r="F178" s="23"/>
      <c r="G178" s="23"/>
      <c r="H178" s="23"/>
      <c r="I178">
        <v>0.05</v>
      </c>
      <c r="J178" s="22">
        <v>0.375</v>
      </c>
      <c r="K178" s="22">
        <v>0.25</v>
      </c>
      <c r="L178" s="22"/>
      <c r="M178" s="22"/>
      <c r="N178" s="23">
        <v>0.8</v>
      </c>
      <c r="O178" s="23">
        <v>0.5</v>
      </c>
      <c r="P178" s="22"/>
      <c r="Q178" s="22"/>
      <c r="R178" s="22"/>
      <c r="S178" s="23">
        <v>1</v>
      </c>
      <c r="T178" s="22"/>
      <c r="U178" s="22">
        <v>0.05</v>
      </c>
      <c r="V178" s="23"/>
      <c r="W178" s="22">
        <v>0.125</v>
      </c>
      <c r="X178" s="22"/>
      <c r="Y178" s="1">
        <f t="shared" si="8"/>
        <v>6.1572500000000002E-2</v>
      </c>
      <c r="Z178" s="31" t="str">
        <f t="shared" si="9"/>
        <v>=</v>
      </c>
      <c r="AB178" s="31">
        <f>168+186</f>
        <v>354</v>
      </c>
      <c r="AC178">
        <f t="shared" si="10"/>
        <v>177</v>
      </c>
      <c r="AF178">
        <v>5.9</v>
      </c>
      <c r="AG178" s="36">
        <v>2715</v>
      </c>
      <c r="AH178">
        <v>177</v>
      </c>
      <c r="AJ178" s="22"/>
    </row>
    <row r="179" spans="1:36" x14ac:dyDescent="0.2">
      <c r="A179" s="16" t="s">
        <v>1369</v>
      </c>
      <c r="B179" s="1" t="s">
        <v>1399</v>
      </c>
      <c r="C179" s="22" t="s">
        <v>294</v>
      </c>
      <c r="D179" s="22"/>
      <c r="E179">
        <v>96.75</v>
      </c>
      <c r="F179" s="23"/>
      <c r="G179" s="23"/>
      <c r="H179" s="23"/>
      <c r="I179">
        <v>0.05</v>
      </c>
      <c r="J179" s="22">
        <v>0.375</v>
      </c>
      <c r="K179" s="22">
        <v>0.25</v>
      </c>
      <c r="L179" s="22"/>
      <c r="M179" s="22"/>
      <c r="N179" s="23">
        <v>0.8</v>
      </c>
      <c r="O179" s="23">
        <v>0.5</v>
      </c>
      <c r="P179" s="22"/>
      <c r="Q179" s="22"/>
      <c r="R179" s="22"/>
      <c r="S179" s="23">
        <v>1</v>
      </c>
      <c r="T179" s="22"/>
      <c r="U179" s="22">
        <v>0.05</v>
      </c>
      <c r="V179" s="23"/>
      <c r="W179" s="22">
        <v>0.125</v>
      </c>
      <c r="X179" s="22"/>
      <c r="Y179" s="1">
        <f t="shared" si="8"/>
        <v>6.1572500000000002E-2</v>
      </c>
      <c r="Z179" s="31" t="str">
        <f t="shared" si="9"/>
        <v>=</v>
      </c>
      <c r="AB179" s="31">
        <f>344+380</f>
        <v>724</v>
      </c>
      <c r="AC179">
        <f t="shared" si="10"/>
        <v>362</v>
      </c>
      <c r="AF179">
        <v>5.9</v>
      </c>
      <c r="AG179" s="36">
        <v>2715</v>
      </c>
      <c r="AH179">
        <v>362</v>
      </c>
      <c r="AJ179" s="22"/>
    </row>
    <row r="180" spans="1:36" x14ac:dyDescent="0.2">
      <c r="A180" s="16" t="s">
        <v>1370</v>
      </c>
      <c r="B180" s="1" t="s">
        <v>1398</v>
      </c>
      <c r="C180" s="22" t="s">
        <v>294</v>
      </c>
      <c r="D180" s="22"/>
      <c r="E180">
        <v>96.3</v>
      </c>
      <c r="F180" s="23"/>
      <c r="G180" s="23"/>
      <c r="H180" s="23"/>
      <c r="I180">
        <v>0.05</v>
      </c>
      <c r="J180" s="22">
        <v>0.85000000000000009</v>
      </c>
      <c r="K180" s="22">
        <v>0.25</v>
      </c>
      <c r="L180" s="22"/>
      <c r="M180" s="22"/>
      <c r="N180" s="23">
        <v>1</v>
      </c>
      <c r="O180" s="23">
        <v>0.5</v>
      </c>
      <c r="P180" s="22"/>
      <c r="Q180" s="22"/>
      <c r="R180" s="22"/>
      <c r="S180" s="23">
        <v>0.8</v>
      </c>
      <c r="T180" s="22"/>
      <c r="U180" s="22">
        <v>0.05</v>
      </c>
      <c r="V180" s="23"/>
      <c r="W180" s="22">
        <v>0.125</v>
      </c>
      <c r="X180" s="22"/>
      <c r="Y180" s="1">
        <f t="shared" si="8"/>
        <v>6.4186499999999994E-2</v>
      </c>
      <c r="Z180" s="31" t="str">
        <f t="shared" si="9"/>
        <v>=</v>
      </c>
      <c r="AB180" s="31">
        <f>324+378</f>
        <v>702</v>
      </c>
      <c r="AC180">
        <f t="shared" si="10"/>
        <v>351</v>
      </c>
      <c r="AF180">
        <v>5.9</v>
      </c>
      <c r="AG180" s="36">
        <v>2710</v>
      </c>
      <c r="AH180">
        <v>351</v>
      </c>
      <c r="AJ180" s="22"/>
    </row>
    <row r="181" spans="1:36" x14ac:dyDescent="0.2">
      <c r="A181" s="16" t="s">
        <v>1371</v>
      </c>
      <c r="B181" s="1" t="s">
        <v>1396</v>
      </c>
      <c r="C181" s="22" t="s">
        <v>1141</v>
      </c>
      <c r="D181" s="22"/>
      <c r="E181">
        <v>97.6</v>
      </c>
      <c r="F181" s="23"/>
      <c r="G181" s="23"/>
      <c r="H181" s="23"/>
      <c r="I181">
        <v>0.05</v>
      </c>
      <c r="J181" s="22">
        <v>0.1</v>
      </c>
      <c r="K181" s="22">
        <v>0.25</v>
      </c>
      <c r="L181" s="22"/>
      <c r="M181" s="22"/>
      <c r="N181" s="23">
        <v>0.42499999999999999</v>
      </c>
      <c r="O181" s="23">
        <v>0.1</v>
      </c>
      <c r="P181" s="22"/>
      <c r="Q181" s="22"/>
      <c r="R181" s="22"/>
      <c r="S181" s="23">
        <v>1.25</v>
      </c>
      <c r="T181" s="22"/>
      <c r="U181" s="22">
        <v>7.4999999999999997E-2</v>
      </c>
      <c r="V181" s="23"/>
      <c r="W181" s="22">
        <v>0.1</v>
      </c>
      <c r="X181" s="22"/>
      <c r="Y181" s="1">
        <f t="shared" si="8"/>
        <v>5.32025E-2</v>
      </c>
      <c r="Z181" s="31" t="str">
        <f t="shared" si="9"/>
        <v>=</v>
      </c>
      <c r="AB181" s="31">
        <f>46.3+54</f>
        <v>100.3</v>
      </c>
      <c r="AC181">
        <f t="shared" si="10"/>
        <v>50.15</v>
      </c>
      <c r="AF181">
        <v>5.9</v>
      </c>
      <c r="AG181" s="36">
        <v>2700</v>
      </c>
      <c r="AH181">
        <v>50.15</v>
      </c>
      <c r="AJ181" s="22"/>
    </row>
    <row r="182" spans="1:36" x14ac:dyDescent="0.2">
      <c r="A182" s="16" t="s">
        <v>1371</v>
      </c>
      <c r="B182" s="1" t="s">
        <v>1397</v>
      </c>
      <c r="C182" s="22" t="s">
        <v>1143</v>
      </c>
      <c r="D182" s="22"/>
      <c r="E182">
        <v>97.6</v>
      </c>
      <c r="F182" s="23"/>
      <c r="G182" s="23"/>
      <c r="H182" s="23"/>
      <c r="I182">
        <v>0.05</v>
      </c>
      <c r="J182" s="22">
        <v>0.1</v>
      </c>
      <c r="K182" s="22">
        <v>0.25</v>
      </c>
      <c r="L182" s="22"/>
      <c r="M182" s="22"/>
      <c r="N182" s="23">
        <v>0.42499999999999999</v>
      </c>
      <c r="O182" s="23">
        <v>0.1</v>
      </c>
      <c r="P182" s="22"/>
      <c r="Q182" s="22"/>
      <c r="R182" s="22"/>
      <c r="S182" s="23">
        <v>1.25</v>
      </c>
      <c r="T182" s="22"/>
      <c r="U182" s="22">
        <v>7.4999999999999997E-2</v>
      </c>
      <c r="V182" s="23"/>
      <c r="W182" s="22">
        <v>0.1</v>
      </c>
      <c r="X182" s="22"/>
      <c r="Y182" s="1">
        <f t="shared" si="8"/>
        <v>5.32025E-2</v>
      </c>
      <c r="Z182" s="31" t="str">
        <f t="shared" si="9"/>
        <v>=</v>
      </c>
      <c r="AB182" s="31">
        <f>83.3+97.2</f>
        <v>180.5</v>
      </c>
      <c r="AC182">
        <f t="shared" si="10"/>
        <v>90.25</v>
      </c>
      <c r="AF182">
        <v>5.9</v>
      </c>
      <c r="AG182" s="36">
        <v>2700</v>
      </c>
      <c r="AH182">
        <v>90.25</v>
      </c>
      <c r="AJ182" s="22"/>
    </row>
    <row r="183" spans="1:36" x14ac:dyDescent="0.2">
      <c r="A183" s="16" t="s">
        <v>1371</v>
      </c>
      <c r="B183" s="1" t="s">
        <v>1396</v>
      </c>
      <c r="C183" s="22" t="s">
        <v>1142</v>
      </c>
      <c r="D183" s="22"/>
      <c r="E183">
        <v>97.6</v>
      </c>
      <c r="F183" s="23"/>
      <c r="G183" s="23"/>
      <c r="H183" s="23"/>
      <c r="I183">
        <v>0.05</v>
      </c>
      <c r="J183" s="22">
        <v>0.1</v>
      </c>
      <c r="K183" s="22">
        <v>0.25</v>
      </c>
      <c r="L183" s="22"/>
      <c r="M183" s="22"/>
      <c r="N183" s="23">
        <v>0.42499999999999999</v>
      </c>
      <c r="O183" s="23">
        <v>0.1</v>
      </c>
      <c r="P183" s="22"/>
      <c r="Q183" s="22"/>
      <c r="R183" s="22"/>
      <c r="S183" s="23">
        <v>1.25</v>
      </c>
      <c r="T183" s="22"/>
      <c r="U183" s="22">
        <v>7.4999999999999997E-2</v>
      </c>
      <c r="V183" s="23"/>
      <c r="W183" s="22">
        <v>0.1</v>
      </c>
      <c r="X183" s="22"/>
      <c r="Y183" s="1">
        <f t="shared" si="8"/>
        <v>5.32025E-2</v>
      </c>
      <c r="Z183" s="31" t="str">
        <f t="shared" si="9"/>
        <v>=</v>
      </c>
      <c r="AB183" s="31">
        <f>65+75.8</f>
        <v>140.80000000000001</v>
      </c>
      <c r="AC183">
        <f t="shared" si="10"/>
        <v>70.400000000000006</v>
      </c>
      <c r="AF183">
        <v>5.9</v>
      </c>
      <c r="AG183" s="36">
        <v>2700</v>
      </c>
      <c r="AH183">
        <v>70.400000000000006</v>
      </c>
      <c r="AJ183" s="22"/>
    </row>
    <row r="184" spans="1:36" x14ac:dyDescent="0.2">
      <c r="A184" s="16" t="s">
        <v>1371</v>
      </c>
      <c r="B184" s="1" t="s">
        <v>1396</v>
      </c>
      <c r="C184" s="22" t="s">
        <v>294</v>
      </c>
      <c r="D184" s="22"/>
      <c r="E184">
        <v>97.6</v>
      </c>
      <c r="F184" s="23"/>
      <c r="G184" s="23"/>
      <c r="H184" s="23"/>
      <c r="I184">
        <v>0.05</v>
      </c>
      <c r="J184" s="22">
        <v>0.1</v>
      </c>
      <c r="K184" s="22">
        <v>0.25</v>
      </c>
      <c r="L184" s="22"/>
      <c r="M184" s="22"/>
      <c r="N184" s="23">
        <v>0.42499999999999999</v>
      </c>
      <c r="O184" s="23">
        <v>0.1</v>
      </c>
      <c r="P184" s="22"/>
      <c r="Q184" s="22"/>
      <c r="R184" s="22"/>
      <c r="S184" s="23">
        <v>1.25</v>
      </c>
      <c r="T184" s="22"/>
      <c r="U184" s="22">
        <v>7.4999999999999997E-2</v>
      </c>
      <c r="V184" s="23"/>
      <c r="W184" s="22">
        <v>0.1</v>
      </c>
      <c r="X184" s="22"/>
      <c r="Y184" s="1">
        <f t="shared" si="8"/>
        <v>5.32025E-2</v>
      </c>
      <c r="Z184" s="31" t="str">
        <f t="shared" si="9"/>
        <v>=</v>
      </c>
      <c r="AB184" s="31">
        <f>171+199</f>
        <v>370</v>
      </c>
      <c r="AC184">
        <f t="shared" si="10"/>
        <v>185</v>
      </c>
      <c r="AF184">
        <v>5.9</v>
      </c>
      <c r="AG184" s="36">
        <v>2700</v>
      </c>
      <c r="AH184">
        <v>185</v>
      </c>
      <c r="AJ184" s="22"/>
    </row>
    <row r="185" spans="1:36" x14ac:dyDescent="0.2">
      <c r="A185" s="16" t="s">
        <v>1372</v>
      </c>
      <c r="B185" s="1" t="s">
        <v>1395</v>
      </c>
      <c r="C185" s="22" t="s">
        <v>1143</v>
      </c>
      <c r="D185" s="22"/>
      <c r="E185">
        <v>97.7</v>
      </c>
      <c r="F185" s="23"/>
      <c r="G185" s="23"/>
      <c r="H185" s="23"/>
      <c r="I185">
        <v>0.05</v>
      </c>
      <c r="J185" s="22">
        <v>0.06</v>
      </c>
      <c r="K185" s="22">
        <v>0.125</v>
      </c>
      <c r="L185" s="22"/>
      <c r="M185" s="22"/>
      <c r="N185" s="23">
        <v>0.57499999999999996</v>
      </c>
      <c r="O185" s="23">
        <v>6.0000000000000005E-2</v>
      </c>
      <c r="P185" s="22"/>
      <c r="Q185" s="22"/>
      <c r="R185" s="22"/>
      <c r="S185" s="23">
        <v>1.1499999999999999</v>
      </c>
      <c r="T185" s="22"/>
      <c r="U185" s="22">
        <v>7.4999999999999997E-2</v>
      </c>
      <c r="V185" s="23"/>
      <c r="W185" s="22">
        <v>0.125</v>
      </c>
      <c r="X185" s="22"/>
      <c r="Y185" s="1">
        <f t="shared" si="8"/>
        <v>5.655049999999999E-2</v>
      </c>
      <c r="Z185" s="31" t="str">
        <f t="shared" si="9"/>
        <v>=</v>
      </c>
      <c r="AB185" s="31">
        <f>135+149</f>
        <v>284</v>
      </c>
      <c r="AC185">
        <f t="shared" si="10"/>
        <v>142</v>
      </c>
      <c r="AF185">
        <v>5.9</v>
      </c>
      <c r="AG185" s="36">
        <v>2690</v>
      </c>
      <c r="AH185">
        <v>142</v>
      </c>
      <c r="AJ185" s="22"/>
    </row>
    <row r="186" spans="1:36" x14ac:dyDescent="0.2">
      <c r="A186" s="16" t="s">
        <v>1372</v>
      </c>
      <c r="B186" s="1" t="s">
        <v>1394</v>
      </c>
      <c r="C186" s="22" t="s">
        <v>1233</v>
      </c>
      <c r="D186" s="22"/>
      <c r="E186">
        <v>97.7</v>
      </c>
      <c r="F186" s="23"/>
      <c r="G186" s="23"/>
      <c r="H186" s="23"/>
      <c r="I186">
        <v>0.05</v>
      </c>
      <c r="J186" s="22">
        <v>0.06</v>
      </c>
      <c r="K186" s="22">
        <v>0.125</v>
      </c>
      <c r="L186" s="22"/>
      <c r="M186" s="22"/>
      <c r="N186" s="23">
        <v>0.57499999999999996</v>
      </c>
      <c r="O186" s="23">
        <v>6.0000000000000005E-2</v>
      </c>
      <c r="P186" s="22"/>
      <c r="Q186" s="22"/>
      <c r="R186" s="22"/>
      <c r="S186" s="23">
        <v>1.1499999999999999</v>
      </c>
      <c r="T186" s="22"/>
      <c r="U186" s="22">
        <v>7.4999999999999997E-2</v>
      </c>
      <c r="V186" s="23"/>
      <c r="W186" s="22">
        <v>0.125</v>
      </c>
      <c r="X186" s="22"/>
      <c r="Y186" s="1">
        <f t="shared" si="8"/>
        <v>5.655049999999999E-2</v>
      </c>
      <c r="Z186" s="31" t="str">
        <f t="shared" si="9"/>
        <v>=</v>
      </c>
      <c r="AB186" s="31">
        <f>126+140</f>
        <v>266</v>
      </c>
      <c r="AC186">
        <f t="shared" si="10"/>
        <v>133</v>
      </c>
      <c r="AF186">
        <v>5.9</v>
      </c>
      <c r="AG186" s="36">
        <v>2690</v>
      </c>
      <c r="AH186">
        <v>133</v>
      </c>
      <c r="AJ186" s="22"/>
    </row>
    <row r="187" spans="1:36" x14ac:dyDescent="0.2">
      <c r="A187" s="16" t="s">
        <v>1372</v>
      </c>
      <c r="B187" s="1" t="s">
        <v>1394</v>
      </c>
      <c r="C187" s="22" t="s">
        <v>1234</v>
      </c>
      <c r="D187" s="22"/>
      <c r="E187">
        <v>97.7</v>
      </c>
      <c r="F187" s="23"/>
      <c r="G187" s="23"/>
      <c r="H187" s="23"/>
      <c r="I187">
        <v>0.05</v>
      </c>
      <c r="J187" s="22">
        <v>0.06</v>
      </c>
      <c r="K187" s="22">
        <v>0.125</v>
      </c>
      <c r="L187" s="22"/>
      <c r="M187" s="22"/>
      <c r="N187" s="23">
        <v>0.57499999999999996</v>
      </c>
      <c r="O187" s="23">
        <v>6.0000000000000005E-2</v>
      </c>
      <c r="P187" s="22"/>
      <c r="Q187" s="22"/>
      <c r="R187" s="22"/>
      <c r="S187" s="23">
        <v>1.1499999999999999</v>
      </c>
      <c r="T187" s="22"/>
      <c r="U187" s="22">
        <v>7.4999999999999997E-2</v>
      </c>
      <c r="V187" s="23"/>
      <c r="W187" s="22">
        <v>0.125</v>
      </c>
      <c r="X187" s="22"/>
      <c r="Y187" s="1">
        <f t="shared" si="8"/>
        <v>5.655049999999999E-2</v>
      </c>
      <c r="Z187" s="31" t="str">
        <f t="shared" si="9"/>
        <v>=</v>
      </c>
      <c r="AB187" s="31">
        <f>124+238</f>
        <v>362</v>
      </c>
      <c r="AC187">
        <f t="shared" si="10"/>
        <v>181</v>
      </c>
      <c r="AF187">
        <v>5.9</v>
      </c>
      <c r="AG187" s="36">
        <v>2690</v>
      </c>
      <c r="AH187">
        <v>181</v>
      </c>
      <c r="AJ187" s="22"/>
    </row>
    <row r="188" spans="1:36" x14ac:dyDescent="0.2">
      <c r="A188" s="16" t="s">
        <v>1372</v>
      </c>
      <c r="B188" s="1" t="s">
        <v>1394</v>
      </c>
      <c r="C188" s="22" t="s">
        <v>529</v>
      </c>
      <c r="D188" s="22"/>
      <c r="E188">
        <v>97.7</v>
      </c>
      <c r="F188" s="23"/>
      <c r="G188" s="23"/>
      <c r="H188" s="23"/>
      <c r="I188">
        <v>0.05</v>
      </c>
      <c r="J188" s="22">
        <v>0.06</v>
      </c>
      <c r="K188" s="22">
        <v>0.125</v>
      </c>
      <c r="L188" s="22"/>
      <c r="M188" s="22"/>
      <c r="N188" s="23">
        <v>0.57499999999999996</v>
      </c>
      <c r="O188" s="23">
        <v>6.0000000000000005E-2</v>
      </c>
      <c r="P188" s="22"/>
      <c r="Q188" s="22"/>
      <c r="R188" s="22"/>
      <c r="S188" s="23">
        <v>1.1499999999999999</v>
      </c>
      <c r="T188" s="22"/>
      <c r="U188" s="22">
        <v>7.4999999999999997E-2</v>
      </c>
      <c r="V188" s="23"/>
      <c r="W188" s="22">
        <v>0.125</v>
      </c>
      <c r="X188" s="22"/>
      <c r="Y188" s="1">
        <f t="shared" si="8"/>
        <v>5.655049999999999E-2</v>
      </c>
      <c r="Z188" s="31" t="str">
        <f t="shared" si="9"/>
        <v>=</v>
      </c>
      <c r="AB188" s="31">
        <f>276+305</f>
        <v>581</v>
      </c>
      <c r="AC188">
        <f t="shared" si="10"/>
        <v>290.5</v>
      </c>
      <c r="AF188">
        <v>5.9</v>
      </c>
      <c r="AG188" s="36">
        <v>2690</v>
      </c>
      <c r="AH188">
        <v>290.5</v>
      </c>
      <c r="AJ188" s="22"/>
    </row>
    <row r="189" spans="1:36" x14ac:dyDescent="0.2">
      <c r="A189" s="16" t="s">
        <v>1373</v>
      </c>
      <c r="B189" s="1" t="s">
        <v>1393</v>
      </c>
      <c r="C189" s="22" t="s">
        <v>1143</v>
      </c>
      <c r="D189" s="22"/>
      <c r="E189">
        <v>98.5</v>
      </c>
      <c r="F189" s="23"/>
      <c r="G189" s="23"/>
      <c r="H189" s="23"/>
      <c r="I189">
        <v>2.5000000000000001E-2</v>
      </c>
      <c r="J189" s="22">
        <v>0.05</v>
      </c>
      <c r="K189" s="22">
        <v>0.2</v>
      </c>
      <c r="L189" s="22"/>
      <c r="M189" s="22"/>
      <c r="N189" s="23">
        <v>0.47499999999999998</v>
      </c>
      <c r="O189" s="23">
        <v>0.05</v>
      </c>
      <c r="P189" s="22"/>
      <c r="Q189" s="22"/>
      <c r="R189" s="22"/>
      <c r="S189" s="23">
        <v>0.44999999999999996</v>
      </c>
      <c r="T189" s="22"/>
      <c r="U189" s="22">
        <v>0.05</v>
      </c>
      <c r="V189" s="23"/>
      <c r="W189" s="22">
        <v>7.4999999999999997E-2</v>
      </c>
      <c r="X189" s="22"/>
      <c r="Y189" s="1">
        <f t="shared" si="8"/>
        <v>3.2460249999999996E-2</v>
      </c>
      <c r="Z189" s="31" t="str">
        <f t="shared" si="9"/>
        <v>=</v>
      </c>
      <c r="AB189" s="31">
        <f>60+70</f>
        <v>130</v>
      </c>
      <c r="AC189">
        <f t="shared" si="10"/>
        <v>65</v>
      </c>
      <c r="AF189">
        <v>5.9</v>
      </c>
      <c r="AG189" s="36">
        <v>2700</v>
      </c>
      <c r="AH189">
        <v>65</v>
      </c>
      <c r="AJ189" s="22"/>
    </row>
    <row r="190" spans="1:36" x14ac:dyDescent="0.2">
      <c r="A190" s="16" t="s">
        <v>1373</v>
      </c>
      <c r="B190" s="1" t="s">
        <v>1393</v>
      </c>
      <c r="C190" s="22" t="s">
        <v>294</v>
      </c>
      <c r="D190" s="22"/>
      <c r="E190">
        <v>98.5</v>
      </c>
      <c r="F190" s="23"/>
      <c r="G190" s="23"/>
      <c r="H190" s="23"/>
      <c r="I190">
        <v>2.5000000000000001E-2</v>
      </c>
      <c r="J190" s="22">
        <v>0.05</v>
      </c>
      <c r="K190" s="22">
        <v>0.2</v>
      </c>
      <c r="L190" s="22"/>
      <c r="M190" s="22"/>
      <c r="N190" s="23">
        <v>0.47499999999999998</v>
      </c>
      <c r="O190" s="23">
        <v>0.05</v>
      </c>
      <c r="P190" s="22"/>
      <c r="Q190" s="22"/>
      <c r="R190" s="22"/>
      <c r="S190" s="23">
        <v>0.44999999999999996</v>
      </c>
      <c r="T190" s="22"/>
      <c r="U190" s="22">
        <v>0.05</v>
      </c>
      <c r="V190" s="23"/>
      <c r="W190" s="22">
        <v>7.4999999999999997E-2</v>
      </c>
      <c r="X190" s="22"/>
      <c r="Y190" s="1">
        <f t="shared" si="8"/>
        <v>3.2460249999999996E-2</v>
      </c>
      <c r="Z190" s="31" t="str">
        <f t="shared" si="9"/>
        <v>=</v>
      </c>
      <c r="AB190" s="31">
        <f>150+175</f>
        <v>325</v>
      </c>
      <c r="AC190">
        <f t="shared" si="10"/>
        <v>162.5</v>
      </c>
      <c r="AF190">
        <v>5.9</v>
      </c>
      <c r="AG190" s="36">
        <v>2700</v>
      </c>
      <c r="AH190">
        <v>162.5</v>
      </c>
      <c r="AJ190" s="22"/>
    </row>
    <row r="191" spans="1:36" x14ac:dyDescent="0.2">
      <c r="A191" s="16" t="s">
        <v>1374</v>
      </c>
      <c r="B191" s="1" t="s">
        <v>1392</v>
      </c>
      <c r="C191" s="22" t="s">
        <v>1143</v>
      </c>
      <c r="D191" s="22"/>
      <c r="E191">
        <v>97.199999999999989</v>
      </c>
      <c r="F191" s="23"/>
      <c r="G191" s="23"/>
      <c r="H191" s="23"/>
      <c r="I191">
        <v>0.19499999999999998</v>
      </c>
      <c r="J191" s="22">
        <v>0.27500000000000002</v>
      </c>
      <c r="K191" s="22">
        <v>0.35</v>
      </c>
      <c r="L191" s="22"/>
      <c r="M191" s="22"/>
      <c r="N191" s="23">
        <v>1</v>
      </c>
      <c r="O191" s="23">
        <v>7.4999999999999997E-2</v>
      </c>
      <c r="P191" s="22"/>
      <c r="Q191" s="22"/>
      <c r="R191" s="22"/>
      <c r="S191" s="23">
        <v>0.60000000000000009</v>
      </c>
      <c r="T191" s="22"/>
      <c r="U191" s="22">
        <v>7.4999999999999997E-2</v>
      </c>
      <c r="V191" s="23"/>
      <c r="W191" s="22">
        <v>0.125</v>
      </c>
      <c r="X191" s="22"/>
      <c r="Y191" s="1">
        <f t="shared" si="8"/>
        <v>6.2019350000000001E-2</v>
      </c>
      <c r="Z191" s="31" t="str">
        <f t="shared" si="9"/>
        <v>=</v>
      </c>
      <c r="AB191" s="31">
        <f>92.6+108</f>
        <v>200.6</v>
      </c>
      <c r="AC191">
        <f t="shared" si="10"/>
        <v>100.3</v>
      </c>
      <c r="AF191">
        <v>5.9</v>
      </c>
      <c r="AG191" s="36">
        <v>2710</v>
      </c>
      <c r="AH191">
        <v>100.3</v>
      </c>
      <c r="AJ191" s="22"/>
    </row>
    <row r="192" spans="1:36" x14ac:dyDescent="0.2">
      <c r="A192" s="16" t="s">
        <v>1374</v>
      </c>
      <c r="B192" s="1" t="s">
        <v>1392</v>
      </c>
      <c r="C192" s="22" t="s">
        <v>606</v>
      </c>
      <c r="D192" s="22"/>
      <c r="E192">
        <v>97.199999999999989</v>
      </c>
      <c r="F192" s="23"/>
      <c r="G192" s="23"/>
      <c r="H192" s="23"/>
      <c r="I192">
        <v>0.19499999999999998</v>
      </c>
      <c r="J192" s="22">
        <v>0.27500000000000002</v>
      </c>
      <c r="K192" s="22">
        <v>0.35</v>
      </c>
      <c r="L192" s="22"/>
      <c r="M192" s="22"/>
      <c r="N192" s="23">
        <v>1</v>
      </c>
      <c r="O192" s="23">
        <v>7.4999999999999997E-2</v>
      </c>
      <c r="P192" s="22"/>
      <c r="Q192" s="22"/>
      <c r="R192" s="22"/>
      <c r="S192" s="23">
        <v>0.60000000000000009</v>
      </c>
      <c r="T192" s="22"/>
      <c r="U192" s="22">
        <v>7.4999999999999997E-2</v>
      </c>
      <c r="V192" s="23"/>
      <c r="W192" s="22">
        <v>0.125</v>
      </c>
      <c r="X192" s="22"/>
      <c r="Y192" s="1">
        <f t="shared" si="8"/>
        <v>6.2019350000000001E-2</v>
      </c>
      <c r="Z192" s="31" t="str">
        <f t="shared" si="9"/>
        <v>=</v>
      </c>
      <c r="AB192" s="31">
        <f>92.6+108</f>
        <v>200.6</v>
      </c>
      <c r="AC192">
        <f t="shared" si="10"/>
        <v>100.3</v>
      </c>
      <c r="AF192">
        <v>5.9</v>
      </c>
      <c r="AG192" s="36">
        <v>2710</v>
      </c>
      <c r="AH192">
        <v>100.3</v>
      </c>
      <c r="AJ192" s="22"/>
    </row>
    <row r="193" spans="1:36" x14ac:dyDescent="0.2">
      <c r="A193" s="16" t="s">
        <v>1374</v>
      </c>
      <c r="B193" s="1" t="s">
        <v>1392</v>
      </c>
      <c r="C193" s="22" t="s">
        <v>1259</v>
      </c>
      <c r="D193" s="22"/>
      <c r="E193">
        <v>97.199999999999989</v>
      </c>
      <c r="F193" s="23"/>
      <c r="G193" s="23"/>
      <c r="H193" s="23"/>
      <c r="I193">
        <v>0.19499999999999998</v>
      </c>
      <c r="J193" s="22">
        <v>0.27500000000000002</v>
      </c>
      <c r="K193" s="22">
        <v>0.35</v>
      </c>
      <c r="L193" s="22"/>
      <c r="M193" s="22"/>
      <c r="N193" s="23">
        <v>1</v>
      </c>
      <c r="O193" s="23">
        <v>7.4999999999999997E-2</v>
      </c>
      <c r="P193" s="22"/>
      <c r="Q193" s="22"/>
      <c r="R193" s="22"/>
      <c r="S193" s="23">
        <v>0.60000000000000009</v>
      </c>
      <c r="T193" s="22"/>
      <c r="U193" s="22">
        <v>7.4999999999999997E-2</v>
      </c>
      <c r="V193" s="23"/>
      <c r="W193" s="22">
        <v>0.125</v>
      </c>
      <c r="X193" s="22"/>
      <c r="Y193" s="1">
        <f t="shared" si="8"/>
        <v>6.2019350000000001E-2</v>
      </c>
      <c r="Z193" s="31" t="str">
        <f t="shared" si="9"/>
        <v>=</v>
      </c>
      <c r="AB193" s="31">
        <f>110+128</f>
        <v>238</v>
      </c>
      <c r="AC193">
        <f t="shared" si="10"/>
        <v>119</v>
      </c>
      <c r="AF193">
        <v>5.9</v>
      </c>
      <c r="AG193" s="36">
        <v>2710</v>
      </c>
      <c r="AH193">
        <v>119</v>
      </c>
      <c r="AJ193" s="22"/>
    </row>
    <row r="194" spans="1:36" x14ac:dyDescent="0.2">
      <c r="A194" s="16" t="s">
        <v>1374</v>
      </c>
      <c r="B194" s="1" t="s">
        <v>1392</v>
      </c>
      <c r="C194" s="22" t="s">
        <v>294</v>
      </c>
      <c r="D194" s="22"/>
      <c r="E194">
        <v>97.199999999999989</v>
      </c>
      <c r="F194" s="23"/>
      <c r="G194" s="23"/>
      <c r="H194" s="23"/>
      <c r="I194">
        <v>0.19499999999999998</v>
      </c>
      <c r="J194" s="22">
        <v>0.27500000000000002</v>
      </c>
      <c r="K194" s="22">
        <v>0.35</v>
      </c>
      <c r="L194" s="22"/>
      <c r="M194" s="22"/>
      <c r="N194" s="23">
        <v>1</v>
      </c>
      <c r="O194" s="23">
        <v>7.4999999999999997E-2</v>
      </c>
      <c r="P194" s="22"/>
      <c r="Q194" s="22"/>
      <c r="R194" s="22"/>
      <c r="S194" s="23">
        <v>0.60000000000000009</v>
      </c>
      <c r="T194" s="22"/>
      <c r="U194" s="22">
        <v>7.4999999999999997E-2</v>
      </c>
      <c r="V194" s="23"/>
      <c r="W194" s="22">
        <v>0.125</v>
      </c>
      <c r="X194" s="22"/>
      <c r="Y194" s="1">
        <f t="shared" si="8"/>
        <v>6.2019350000000001E-2</v>
      </c>
      <c r="Z194" s="31" t="str">
        <f t="shared" si="9"/>
        <v>=</v>
      </c>
      <c r="AB194" s="31">
        <f>240+280</f>
        <v>520</v>
      </c>
      <c r="AC194">
        <f t="shared" si="10"/>
        <v>260</v>
      </c>
      <c r="AF194">
        <v>5.9</v>
      </c>
      <c r="AG194" s="36">
        <v>2710</v>
      </c>
      <c r="AH194">
        <v>260</v>
      </c>
      <c r="AJ194" s="22"/>
    </row>
    <row r="195" spans="1:36" x14ac:dyDescent="0.2">
      <c r="A195" s="16" t="s">
        <v>1374</v>
      </c>
      <c r="B195" s="1" t="s">
        <v>1392</v>
      </c>
      <c r="C195" s="22" t="s">
        <v>529</v>
      </c>
      <c r="D195" s="22"/>
      <c r="E195">
        <v>97.199999999999989</v>
      </c>
      <c r="F195" s="23"/>
      <c r="G195" s="23"/>
      <c r="H195" s="23"/>
      <c r="I195">
        <v>0.19499999999999998</v>
      </c>
      <c r="J195" s="22">
        <v>0.27500000000000002</v>
      </c>
      <c r="K195" s="22">
        <v>0.35</v>
      </c>
      <c r="L195" s="22"/>
      <c r="M195" s="22"/>
      <c r="N195" s="23">
        <v>1</v>
      </c>
      <c r="O195" s="23">
        <v>7.4999999999999997E-2</v>
      </c>
      <c r="P195" s="22"/>
      <c r="Q195" s="22"/>
      <c r="R195" s="22"/>
      <c r="S195" s="23">
        <v>0.60000000000000009</v>
      </c>
      <c r="T195" s="22"/>
      <c r="U195" s="22">
        <v>7.4999999999999997E-2</v>
      </c>
      <c r="V195" s="23"/>
      <c r="W195" s="22">
        <v>0.125</v>
      </c>
      <c r="X195" s="22"/>
      <c r="Y195" s="1">
        <f t="shared" si="8"/>
        <v>6.2019350000000001E-2</v>
      </c>
      <c r="Z195" s="31" t="str">
        <f t="shared" si="9"/>
        <v>=</v>
      </c>
      <c r="AB195" s="31">
        <f>241+266</f>
        <v>507</v>
      </c>
      <c r="AC195">
        <f t="shared" si="10"/>
        <v>253.5</v>
      </c>
      <c r="AF195">
        <v>5.9</v>
      </c>
      <c r="AG195" s="36">
        <v>2710</v>
      </c>
      <c r="AH195">
        <v>253.5</v>
      </c>
      <c r="AJ195" s="22"/>
    </row>
    <row r="196" spans="1:36" x14ac:dyDescent="0.2">
      <c r="A196" s="16" t="s">
        <v>1374</v>
      </c>
      <c r="B196" s="1" t="s">
        <v>1392</v>
      </c>
      <c r="C196" s="22" t="s">
        <v>583</v>
      </c>
      <c r="D196" s="22"/>
      <c r="E196">
        <v>97.199999999999989</v>
      </c>
      <c r="F196" s="23"/>
      <c r="G196" s="23"/>
      <c r="H196" s="23"/>
      <c r="I196">
        <v>0.19499999999999998</v>
      </c>
      <c r="J196" s="22">
        <v>0.27500000000000002</v>
      </c>
      <c r="K196" s="22">
        <v>0.35</v>
      </c>
      <c r="L196" s="22"/>
      <c r="M196" s="22"/>
      <c r="N196" s="23">
        <v>1</v>
      </c>
      <c r="O196" s="23">
        <v>7.4999999999999997E-2</v>
      </c>
      <c r="P196" s="22"/>
      <c r="Q196" s="22"/>
      <c r="R196" s="22"/>
      <c r="S196" s="23">
        <v>0.60000000000000009</v>
      </c>
      <c r="T196" s="22"/>
      <c r="U196" s="22">
        <v>7.4999999999999997E-2</v>
      </c>
      <c r="V196" s="23"/>
      <c r="W196" s="22">
        <v>0.125</v>
      </c>
      <c r="X196" s="22"/>
      <c r="Y196" s="1">
        <f t="shared" si="8"/>
        <v>6.2019350000000001E-2</v>
      </c>
      <c r="Z196" s="31" t="str">
        <f t="shared" si="9"/>
        <v>=</v>
      </c>
      <c r="AB196" s="31">
        <f>241+281</f>
        <v>522</v>
      </c>
      <c r="AC196">
        <f t="shared" si="10"/>
        <v>261</v>
      </c>
      <c r="AF196">
        <v>5.9</v>
      </c>
      <c r="AG196" s="36">
        <v>2710</v>
      </c>
      <c r="AH196">
        <v>261</v>
      </c>
      <c r="AJ196" s="22"/>
    </row>
    <row r="197" spans="1:36" x14ac:dyDescent="0.2">
      <c r="A197" s="16" t="s">
        <v>1374</v>
      </c>
      <c r="B197" s="1" t="s">
        <v>1391</v>
      </c>
      <c r="C197" s="22" t="s">
        <v>1260</v>
      </c>
      <c r="D197" s="22"/>
      <c r="E197">
        <v>97.199999999999989</v>
      </c>
      <c r="F197" s="23"/>
      <c r="G197" s="23"/>
      <c r="H197" s="23"/>
      <c r="I197">
        <v>0.19499999999999998</v>
      </c>
      <c r="J197" s="22">
        <v>0.27500000000000002</v>
      </c>
      <c r="K197" s="22">
        <v>0.35</v>
      </c>
      <c r="L197" s="22"/>
      <c r="M197" s="22"/>
      <c r="N197" s="23">
        <v>1</v>
      </c>
      <c r="O197" s="23">
        <v>7.4999999999999997E-2</v>
      </c>
      <c r="P197" s="22"/>
      <c r="Q197" s="22"/>
      <c r="R197" s="22"/>
      <c r="S197" s="23">
        <v>0.60000000000000009</v>
      </c>
      <c r="T197" s="22"/>
      <c r="U197" s="22">
        <v>7.4999999999999997E-2</v>
      </c>
      <c r="V197" s="23"/>
      <c r="W197" s="22">
        <v>0.125</v>
      </c>
      <c r="X197" s="22"/>
      <c r="Y197" s="1">
        <f t="shared" ref="Y197:Y260" si="11">3.262*F197/100+4.012*G197/100+4.36*H197/100+2.333*I197/100+3.327*L197/100+4.082*N197/100+2.775*S197/100+2.165*V197/100</f>
        <v>6.2019350000000001E-2</v>
      </c>
      <c r="Z197" s="31" t="str">
        <f t="shared" ref="Z197:Z260" si="12">"="&amp;AI197</f>
        <v>=</v>
      </c>
      <c r="AB197" s="31">
        <f>241+281</f>
        <v>522</v>
      </c>
      <c r="AC197">
        <f t="shared" ref="AC197:AC259" si="13">AB197/2</f>
        <v>261</v>
      </c>
      <c r="AF197">
        <v>5.9</v>
      </c>
      <c r="AG197" s="36">
        <v>2710</v>
      </c>
      <c r="AH197">
        <v>261</v>
      </c>
      <c r="AJ197" s="22"/>
    </row>
    <row r="198" spans="1:36" x14ac:dyDescent="0.2">
      <c r="A198" s="1" t="s">
        <v>1434</v>
      </c>
      <c r="B198" s="1" t="s">
        <v>1435</v>
      </c>
      <c r="C198" s="24" t="s">
        <v>481</v>
      </c>
      <c r="D198" s="24"/>
      <c r="E198">
        <v>98.45</v>
      </c>
      <c r="F198" s="23"/>
      <c r="G198" s="23"/>
      <c r="H198" s="23"/>
      <c r="I198">
        <v>0.05</v>
      </c>
      <c r="J198" s="22">
        <v>0.05</v>
      </c>
      <c r="K198" s="22">
        <v>0.17499999999999999</v>
      </c>
      <c r="L198" s="22"/>
      <c r="M198" s="22"/>
      <c r="N198" s="23">
        <v>0.67500000000000004</v>
      </c>
      <c r="O198" s="23">
        <v>0.05</v>
      </c>
      <c r="P198" s="22"/>
      <c r="Q198" s="22"/>
      <c r="R198" s="22"/>
      <c r="S198" s="23">
        <v>0.4</v>
      </c>
      <c r="T198" s="22"/>
      <c r="U198" s="22">
        <v>0.05</v>
      </c>
      <c r="V198" s="23"/>
      <c r="W198" s="22">
        <v>0.05</v>
      </c>
      <c r="X198" s="22"/>
      <c r="Y198" s="1">
        <f t="shared" si="11"/>
        <v>3.9820000000000001E-2</v>
      </c>
      <c r="Z198" s="31" t="str">
        <f t="shared" si="12"/>
        <v>=</v>
      </c>
      <c r="AB198" s="31">
        <f>46.3+54</f>
        <v>100.3</v>
      </c>
      <c r="AC198">
        <f t="shared" si="13"/>
        <v>50.15</v>
      </c>
      <c r="AF198">
        <v>5.9</v>
      </c>
      <c r="AG198" s="36">
        <v>2695</v>
      </c>
      <c r="AH198">
        <v>50.15</v>
      </c>
      <c r="AJ198" s="22"/>
    </row>
    <row r="199" spans="1:36" x14ac:dyDescent="0.2">
      <c r="A199" s="1" t="s">
        <v>1434</v>
      </c>
      <c r="B199" s="1" t="s">
        <v>1435</v>
      </c>
      <c r="C199" s="22" t="s">
        <v>1141</v>
      </c>
      <c r="D199" s="24"/>
      <c r="E199">
        <v>98.45</v>
      </c>
      <c r="F199" s="23"/>
      <c r="G199" s="23"/>
      <c r="H199" s="23"/>
      <c r="I199">
        <v>0.05</v>
      </c>
      <c r="J199" s="22">
        <v>0.05</v>
      </c>
      <c r="K199" s="22">
        <v>0.17499999999999999</v>
      </c>
      <c r="L199" s="22"/>
      <c r="M199" s="22"/>
      <c r="N199" s="23">
        <v>0.67500000000000004</v>
      </c>
      <c r="O199" s="23">
        <v>0.05</v>
      </c>
      <c r="P199" s="22"/>
      <c r="Q199" s="22"/>
      <c r="R199" s="22"/>
      <c r="S199" s="23">
        <v>0.4</v>
      </c>
      <c r="T199" s="22"/>
      <c r="U199" s="22">
        <v>0.05</v>
      </c>
      <c r="V199" s="23"/>
      <c r="W199" s="22">
        <v>0.05</v>
      </c>
      <c r="X199" s="22"/>
      <c r="Y199" s="1">
        <f t="shared" si="11"/>
        <v>3.9820000000000001E-2</v>
      </c>
      <c r="Z199" s="31" t="str">
        <f t="shared" si="12"/>
        <v>=</v>
      </c>
      <c r="AB199" s="31">
        <f>60+70</f>
        <v>130</v>
      </c>
      <c r="AC199">
        <f t="shared" si="13"/>
        <v>65</v>
      </c>
      <c r="AF199">
        <v>5.9</v>
      </c>
      <c r="AG199" s="36">
        <v>2685</v>
      </c>
      <c r="AH199">
        <v>65</v>
      </c>
      <c r="AJ199" s="22"/>
    </row>
    <row r="200" spans="1:36" x14ac:dyDescent="0.2">
      <c r="A200" s="1" t="s">
        <v>1434</v>
      </c>
      <c r="B200" s="1" t="s">
        <v>1435</v>
      </c>
      <c r="C200" s="22" t="s">
        <v>1143</v>
      </c>
      <c r="D200" s="24"/>
      <c r="E200">
        <v>98.45</v>
      </c>
      <c r="F200" s="23"/>
      <c r="G200" s="23"/>
      <c r="H200" s="23"/>
      <c r="I200">
        <v>0.05</v>
      </c>
      <c r="J200" s="22">
        <v>0.05</v>
      </c>
      <c r="K200" s="22">
        <v>0.17499999999999999</v>
      </c>
      <c r="L200" s="22"/>
      <c r="M200" s="22"/>
      <c r="N200" s="23">
        <v>0.67500000000000004</v>
      </c>
      <c r="O200" s="23">
        <v>0.05</v>
      </c>
      <c r="P200" s="22"/>
      <c r="Q200" s="22"/>
      <c r="R200" s="22"/>
      <c r="S200" s="23">
        <v>0.4</v>
      </c>
      <c r="T200" s="22"/>
      <c r="U200" s="22">
        <v>0.05</v>
      </c>
      <c r="V200" s="23"/>
      <c r="W200" s="22">
        <v>0.05</v>
      </c>
      <c r="X200" s="22"/>
      <c r="Y200" s="1">
        <f t="shared" si="11"/>
        <v>3.9820000000000001E-2</v>
      </c>
      <c r="Z200" s="31" t="str">
        <f t="shared" si="12"/>
        <v>=</v>
      </c>
      <c r="AB200" s="31">
        <f>70+81.6</f>
        <v>151.6</v>
      </c>
      <c r="AC200">
        <f t="shared" si="13"/>
        <v>75.8</v>
      </c>
      <c r="AF200">
        <v>5.9</v>
      </c>
      <c r="AG200" s="36">
        <v>2695</v>
      </c>
      <c r="AH200">
        <v>75.8</v>
      </c>
      <c r="AJ200" s="22"/>
    </row>
    <row r="201" spans="1:36" x14ac:dyDescent="0.2">
      <c r="A201" s="1" t="s">
        <v>1434</v>
      </c>
      <c r="B201" s="1" t="s">
        <v>1435</v>
      </c>
      <c r="C201" s="22" t="s">
        <v>1142</v>
      </c>
      <c r="D201" s="24"/>
      <c r="E201">
        <v>98.45</v>
      </c>
      <c r="F201" s="23"/>
      <c r="G201" s="23"/>
      <c r="H201" s="23"/>
      <c r="I201">
        <v>0.05</v>
      </c>
      <c r="J201" s="22">
        <v>0.05</v>
      </c>
      <c r="K201" s="22">
        <v>0.17499999999999999</v>
      </c>
      <c r="L201" s="22"/>
      <c r="M201" s="22"/>
      <c r="N201" s="23">
        <v>0.67500000000000004</v>
      </c>
      <c r="O201" s="23">
        <v>0.05</v>
      </c>
      <c r="P201" s="22"/>
      <c r="Q201" s="22"/>
      <c r="R201" s="22"/>
      <c r="S201" s="23">
        <v>0.4</v>
      </c>
      <c r="T201" s="22"/>
      <c r="U201" s="22">
        <v>0.05</v>
      </c>
      <c r="V201" s="23"/>
      <c r="W201" s="22">
        <v>0.05</v>
      </c>
      <c r="X201" s="22"/>
      <c r="Y201" s="1">
        <f t="shared" si="11"/>
        <v>3.9820000000000001E-2</v>
      </c>
      <c r="Z201" s="31" t="str">
        <f t="shared" si="12"/>
        <v>=</v>
      </c>
      <c r="AB201" s="31">
        <f>110+128</f>
        <v>238</v>
      </c>
      <c r="AC201">
        <f t="shared" si="13"/>
        <v>119</v>
      </c>
      <c r="AF201">
        <v>5.9</v>
      </c>
      <c r="AG201" s="36">
        <v>2685</v>
      </c>
      <c r="AH201">
        <v>119</v>
      </c>
      <c r="AJ201" s="22"/>
    </row>
    <row r="202" spans="1:36" x14ac:dyDescent="0.2">
      <c r="A202" s="1" t="s">
        <v>1459</v>
      </c>
      <c r="B202" s="1" t="s">
        <v>1458</v>
      </c>
      <c r="C202" s="22" t="s">
        <v>294</v>
      </c>
      <c r="D202" s="24"/>
      <c r="E202">
        <v>98.45</v>
      </c>
      <c r="F202" s="23"/>
      <c r="G202" s="23"/>
      <c r="H202" s="23"/>
      <c r="I202">
        <v>0.05</v>
      </c>
      <c r="J202" s="22">
        <v>0.05</v>
      </c>
      <c r="K202" s="22">
        <v>0.17499999999999999</v>
      </c>
      <c r="L202" s="22"/>
      <c r="M202" s="22"/>
      <c r="N202" s="23">
        <v>0.67500000000000004</v>
      </c>
      <c r="O202" s="23">
        <v>0.05</v>
      </c>
      <c r="P202" s="22"/>
      <c r="Q202" s="22"/>
      <c r="R202" s="22"/>
      <c r="S202" s="23">
        <v>0.4</v>
      </c>
      <c r="T202" s="22"/>
      <c r="U202" s="22">
        <v>0.05</v>
      </c>
      <c r="V202" s="23"/>
      <c r="W202" s="22">
        <v>0.05</v>
      </c>
      <c r="X202" s="22"/>
      <c r="Y202" s="1">
        <f t="shared" si="11"/>
        <v>3.9820000000000001E-2</v>
      </c>
      <c r="Z202" s="31" t="str">
        <f t="shared" si="12"/>
        <v>=</v>
      </c>
      <c r="AB202" s="31">
        <f>170+198</f>
        <v>368</v>
      </c>
      <c r="AC202">
        <f t="shared" si="13"/>
        <v>184</v>
      </c>
      <c r="AF202">
        <v>5.9</v>
      </c>
      <c r="AG202" s="36">
        <v>2685</v>
      </c>
      <c r="AH202">
        <v>184</v>
      </c>
      <c r="AJ202" s="22"/>
    </row>
    <row r="203" spans="1:36" x14ac:dyDescent="0.2">
      <c r="A203" s="1" t="s">
        <v>1434</v>
      </c>
      <c r="B203" s="1" t="s">
        <v>1435</v>
      </c>
      <c r="C203" s="22" t="s">
        <v>1448</v>
      </c>
      <c r="D203" s="24"/>
      <c r="E203">
        <v>98.45</v>
      </c>
      <c r="F203" s="23"/>
      <c r="G203" s="23"/>
      <c r="H203" s="23"/>
      <c r="I203">
        <v>0.05</v>
      </c>
      <c r="J203" s="22">
        <v>0.05</v>
      </c>
      <c r="K203" s="22">
        <v>0.17499999999999999</v>
      </c>
      <c r="L203" s="22"/>
      <c r="M203" s="22"/>
      <c r="N203" s="23">
        <v>0.67500000000000004</v>
      </c>
      <c r="O203" s="23">
        <v>0.05</v>
      </c>
      <c r="P203" s="22"/>
      <c r="Q203" s="22"/>
      <c r="R203" s="22"/>
      <c r="S203" s="23">
        <v>0.4</v>
      </c>
      <c r="T203" s="22"/>
      <c r="U203" s="22">
        <v>0.05</v>
      </c>
      <c r="V203" s="23"/>
      <c r="W203" s="22">
        <v>0.05</v>
      </c>
      <c r="X203" s="22"/>
      <c r="Y203" s="1">
        <f t="shared" si="11"/>
        <v>3.9820000000000001E-2</v>
      </c>
      <c r="Z203" s="31" t="str">
        <f t="shared" si="12"/>
        <v>=</v>
      </c>
      <c r="AB203" s="31">
        <f>222+259</f>
        <v>481</v>
      </c>
      <c r="AC203">
        <f t="shared" si="13"/>
        <v>240.5</v>
      </c>
      <c r="AF203">
        <v>5.9</v>
      </c>
      <c r="AG203" s="36">
        <v>2695</v>
      </c>
      <c r="AH203">
        <v>240.5</v>
      </c>
      <c r="AJ203" s="22"/>
    </row>
    <row r="204" spans="1:36" x14ac:dyDescent="0.2">
      <c r="A204" s="1" t="s">
        <v>1434</v>
      </c>
      <c r="B204" s="1" t="s">
        <v>1435</v>
      </c>
      <c r="C204" s="22" t="s">
        <v>718</v>
      </c>
      <c r="D204" s="24"/>
      <c r="E204">
        <v>98.45</v>
      </c>
      <c r="F204" s="23"/>
      <c r="G204" s="23"/>
      <c r="H204" s="23"/>
      <c r="I204">
        <v>0.05</v>
      </c>
      <c r="J204" s="22">
        <v>0.05</v>
      </c>
      <c r="K204" s="22">
        <v>0.17499999999999999</v>
      </c>
      <c r="L204" s="22"/>
      <c r="M204" s="22"/>
      <c r="N204" s="23">
        <v>0.67500000000000004</v>
      </c>
      <c r="O204" s="23">
        <v>0.05</v>
      </c>
      <c r="P204" s="22"/>
      <c r="Q204" s="22"/>
      <c r="R204" s="22"/>
      <c r="S204" s="23">
        <v>0.4</v>
      </c>
      <c r="T204" s="22"/>
      <c r="U204" s="22">
        <v>0.05</v>
      </c>
      <c r="V204" s="23"/>
      <c r="W204" s="22">
        <v>0.05</v>
      </c>
      <c r="X204" s="22"/>
      <c r="Y204" s="1">
        <f t="shared" si="11"/>
        <v>3.9820000000000001E-2</v>
      </c>
      <c r="Z204" s="31" t="str">
        <f t="shared" si="12"/>
        <v>=</v>
      </c>
      <c r="AB204" s="31">
        <f>229+253</f>
        <v>482</v>
      </c>
      <c r="AC204">
        <f t="shared" si="13"/>
        <v>241</v>
      </c>
      <c r="AF204">
        <v>5.9</v>
      </c>
      <c r="AG204" s="36">
        <v>2685</v>
      </c>
      <c r="AH204">
        <v>241</v>
      </c>
      <c r="AJ204" s="22"/>
    </row>
    <row r="205" spans="1:36" x14ac:dyDescent="0.2">
      <c r="A205" s="1" t="s">
        <v>1434</v>
      </c>
      <c r="B205" s="1" t="s">
        <v>1435</v>
      </c>
      <c r="C205" s="22" t="s">
        <v>1449</v>
      </c>
      <c r="D205" s="24"/>
      <c r="E205">
        <v>98.45</v>
      </c>
      <c r="F205" s="23"/>
      <c r="G205" s="23"/>
      <c r="H205" s="23"/>
      <c r="I205">
        <v>0.05</v>
      </c>
      <c r="J205" s="22">
        <v>0.05</v>
      </c>
      <c r="K205" s="22">
        <v>0.17499999999999999</v>
      </c>
      <c r="L205" s="22"/>
      <c r="M205" s="22"/>
      <c r="N205" s="23">
        <v>0.67500000000000004</v>
      </c>
      <c r="O205" s="23">
        <v>0.05</v>
      </c>
      <c r="P205" s="22"/>
      <c r="Q205" s="22"/>
      <c r="R205" s="22"/>
      <c r="S205" s="23">
        <v>0.4</v>
      </c>
      <c r="T205" s="22"/>
      <c r="U205" s="22">
        <v>0.05</v>
      </c>
      <c r="V205" s="23"/>
      <c r="W205" s="22">
        <v>0.05</v>
      </c>
      <c r="X205" s="22"/>
      <c r="Y205" s="1">
        <f t="shared" si="11"/>
        <v>3.9820000000000001E-2</v>
      </c>
      <c r="Z205" s="31" t="str">
        <f t="shared" si="12"/>
        <v>=</v>
      </c>
      <c r="AB205" s="31">
        <f>177+195</f>
        <v>372</v>
      </c>
      <c r="AC205">
        <f t="shared" si="13"/>
        <v>186</v>
      </c>
      <c r="AF205">
        <v>5.9</v>
      </c>
      <c r="AG205" s="36">
        <v>2685</v>
      </c>
      <c r="AH205">
        <v>186</v>
      </c>
      <c r="AJ205" s="22"/>
    </row>
    <row r="206" spans="1:36" x14ac:dyDescent="0.2">
      <c r="A206" s="1" t="s">
        <v>1434</v>
      </c>
      <c r="B206" s="1" t="s">
        <v>1435</v>
      </c>
      <c r="C206" s="22" t="s">
        <v>1450</v>
      </c>
      <c r="D206" s="24"/>
      <c r="E206">
        <v>98.45</v>
      </c>
      <c r="F206" s="23"/>
      <c r="G206" s="23"/>
      <c r="H206" s="23"/>
      <c r="I206">
        <v>0.05</v>
      </c>
      <c r="J206" s="22">
        <v>0.05</v>
      </c>
      <c r="K206" s="22">
        <v>0.17499999999999999</v>
      </c>
      <c r="L206" s="22"/>
      <c r="M206" s="22"/>
      <c r="N206" s="23">
        <v>0.67500000000000004</v>
      </c>
      <c r="O206" s="23">
        <v>0.05</v>
      </c>
      <c r="P206" s="22"/>
      <c r="Q206" s="22"/>
      <c r="R206" s="22"/>
      <c r="S206" s="23">
        <v>0.4</v>
      </c>
      <c r="T206" s="22"/>
      <c r="U206" s="22">
        <v>0.05</v>
      </c>
      <c r="V206" s="23"/>
      <c r="W206" s="22">
        <v>0.05</v>
      </c>
      <c r="X206" s="22"/>
      <c r="Y206" s="1">
        <f t="shared" si="11"/>
        <v>3.9820000000000001E-2</v>
      </c>
      <c r="Z206" s="31" t="str">
        <f t="shared" si="12"/>
        <v>=</v>
      </c>
      <c r="AB206" s="31">
        <f>256+282</f>
        <v>538</v>
      </c>
      <c r="AC206">
        <f t="shared" si="13"/>
        <v>269</v>
      </c>
      <c r="AF206">
        <v>5.9</v>
      </c>
      <c r="AG206" s="36">
        <v>2685</v>
      </c>
      <c r="AH206">
        <v>269</v>
      </c>
      <c r="AJ206" s="22"/>
    </row>
    <row r="207" spans="1:36" x14ac:dyDescent="0.2">
      <c r="B207" s="1" t="s">
        <v>1474</v>
      </c>
      <c r="C207" s="22" t="s">
        <v>294</v>
      </c>
      <c r="D207" s="24"/>
      <c r="E207">
        <v>95</v>
      </c>
      <c r="F207" s="23"/>
      <c r="G207" s="23"/>
      <c r="H207" s="23"/>
      <c r="I207">
        <v>0.05</v>
      </c>
      <c r="J207" s="22">
        <v>0.27500000000000002</v>
      </c>
      <c r="K207" s="22">
        <v>0.25</v>
      </c>
      <c r="L207" s="22"/>
      <c r="M207" s="22"/>
      <c r="N207" s="23">
        <v>1.1000000000000001</v>
      </c>
      <c r="O207" s="23">
        <v>0.85000000000000009</v>
      </c>
      <c r="P207" s="22"/>
      <c r="Q207" s="22"/>
      <c r="R207" s="22"/>
      <c r="S207" s="23">
        <v>1.35</v>
      </c>
      <c r="T207" s="22"/>
      <c r="U207" s="22"/>
      <c r="V207" s="23"/>
      <c r="W207" s="22">
        <v>0.125</v>
      </c>
      <c r="X207" s="22"/>
      <c r="Y207" s="1">
        <f t="shared" si="11"/>
        <v>8.3531000000000008E-2</v>
      </c>
      <c r="Z207" s="31" t="str">
        <f t="shared" si="12"/>
        <v>=</v>
      </c>
      <c r="AB207" s="31">
        <f>300+350</f>
        <v>650</v>
      </c>
      <c r="AC207">
        <f t="shared" si="13"/>
        <v>325</v>
      </c>
      <c r="AF207">
        <v>5.9</v>
      </c>
      <c r="AG207" s="36">
        <v>2800</v>
      </c>
      <c r="AH207">
        <v>325</v>
      </c>
      <c r="AJ207" s="22"/>
    </row>
    <row r="208" spans="1:36" x14ac:dyDescent="0.2">
      <c r="B208" s="1" t="s">
        <v>1487</v>
      </c>
      <c r="C208" s="22" t="s">
        <v>294</v>
      </c>
      <c r="D208" s="22"/>
      <c r="E208">
        <v>96.3</v>
      </c>
      <c r="F208" s="23"/>
      <c r="G208" s="23"/>
      <c r="H208" s="23"/>
      <c r="I208">
        <v>0.05</v>
      </c>
      <c r="J208" s="22">
        <v>0.27500000000000002</v>
      </c>
      <c r="K208" s="22">
        <v>0.25</v>
      </c>
      <c r="L208" s="22"/>
      <c r="M208" s="22"/>
      <c r="N208" s="23">
        <v>0.85</v>
      </c>
      <c r="O208" s="23">
        <v>0.7</v>
      </c>
      <c r="P208" s="22"/>
      <c r="Q208" s="22"/>
      <c r="R208" s="22"/>
      <c r="S208" s="23">
        <v>1.35</v>
      </c>
      <c r="T208" s="22"/>
      <c r="U208" s="22"/>
      <c r="V208" s="23"/>
      <c r="W208" s="22">
        <v>0.125</v>
      </c>
      <c r="X208" s="22"/>
      <c r="Y208" s="1">
        <f t="shared" si="11"/>
        <v>7.3326000000000002E-2</v>
      </c>
      <c r="Z208" s="31" t="str">
        <f t="shared" si="12"/>
        <v>=</v>
      </c>
      <c r="AB208" s="31">
        <f>310+362</f>
        <v>672</v>
      </c>
      <c r="AC208">
        <f t="shared" si="13"/>
        <v>336</v>
      </c>
      <c r="AF208">
        <v>5.9</v>
      </c>
      <c r="AG208" s="36">
        <v>2700</v>
      </c>
      <c r="AH208">
        <v>336</v>
      </c>
      <c r="AJ208" s="22"/>
    </row>
    <row r="209" spans="1:36" x14ac:dyDescent="0.2">
      <c r="A209" s="14" t="s">
        <v>1498</v>
      </c>
      <c r="B209" s="1" t="s">
        <v>1499</v>
      </c>
      <c r="C209" s="22" t="s">
        <v>1143</v>
      </c>
      <c r="D209" s="22"/>
      <c r="E209">
        <v>96.75</v>
      </c>
      <c r="F209" s="23"/>
      <c r="G209" s="23"/>
      <c r="H209" s="23"/>
      <c r="I209">
        <v>0.125</v>
      </c>
      <c r="J209" s="22">
        <v>0.05</v>
      </c>
      <c r="K209" s="22">
        <v>0.25</v>
      </c>
      <c r="L209" s="22"/>
      <c r="M209" s="22"/>
      <c r="N209" s="23">
        <v>0.89999999999999991</v>
      </c>
      <c r="O209" s="23">
        <v>0.7</v>
      </c>
      <c r="P209" s="22"/>
      <c r="Q209" s="22"/>
      <c r="R209" s="22"/>
      <c r="S209" s="23">
        <v>1</v>
      </c>
      <c r="T209" s="22"/>
      <c r="U209" s="22">
        <v>0.05</v>
      </c>
      <c r="V209" s="23"/>
      <c r="W209" s="22">
        <v>0.1</v>
      </c>
      <c r="X209" s="22"/>
      <c r="Y209" s="1">
        <f t="shared" si="11"/>
        <v>6.7404249999999999E-2</v>
      </c>
      <c r="Z209" s="31" t="str">
        <f t="shared" si="12"/>
        <v>=</v>
      </c>
      <c r="AB209" s="31">
        <f>115+134</f>
        <v>249</v>
      </c>
      <c r="AC209">
        <f t="shared" si="13"/>
        <v>124.5</v>
      </c>
      <c r="AF209">
        <v>5.9</v>
      </c>
      <c r="AG209" s="36">
        <v>2700</v>
      </c>
      <c r="AH209">
        <v>124.5</v>
      </c>
      <c r="AJ209" s="22"/>
    </row>
    <row r="210" spans="1:36" x14ac:dyDescent="0.2">
      <c r="A210" s="14" t="s">
        <v>1504</v>
      </c>
      <c r="B210" s="1" t="s">
        <v>1505</v>
      </c>
      <c r="C210" s="22" t="s">
        <v>294</v>
      </c>
      <c r="D210" s="22"/>
      <c r="E210">
        <v>97.199999999999989</v>
      </c>
      <c r="F210" s="23"/>
      <c r="G210" s="23"/>
      <c r="H210" s="23"/>
      <c r="I210">
        <v>0.25</v>
      </c>
      <c r="J210" s="22">
        <v>0.17499999999999999</v>
      </c>
      <c r="K210" s="22">
        <v>0.5</v>
      </c>
      <c r="L210" s="22"/>
      <c r="M210" s="22"/>
      <c r="N210" s="23">
        <v>0.625</v>
      </c>
      <c r="O210" s="23">
        <v>0.1</v>
      </c>
      <c r="P210" s="22"/>
      <c r="Q210" s="22"/>
      <c r="R210" s="22"/>
      <c r="S210" s="23">
        <v>0.89999999999999991</v>
      </c>
      <c r="T210" s="22"/>
      <c r="U210" s="22">
        <v>7.4999999999999997E-2</v>
      </c>
      <c r="V210" s="23"/>
      <c r="W210" s="22">
        <v>0.125</v>
      </c>
      <c r="X210" s="22"/>
      <c r="Y210" s="1">
        <f t="shared" si="11"/>
        <v>5.6319999999999995E-2</v>
      </c>
      <c r="Z210" s="31" t="str">
        <f t="shared" si="12"/>
        <v>=</v>
      </c>
      <c r="AB210" s="31">
        <f>255+297</f>
        <v>552</v>
      </c>
      <c r="AC210">
        <f t="shared" si="13"/>
        <v>276</v>
      </c>
      <c r="AF210">
        <v>5.9</v>
      </c>
      <c r="AG210" s="36">
        <v>2710</v>
      </c>
      <c r="AH210">
        <v>276</v>
      </c>
      <c r="AJ210" s="22"/>
    </row>
    <row r="211" spans="1:36" x14ac:dyDescent="0.2">
      <c r="B211" s="1" t="s">
        <v>1514</v>
      </c>
      <c r="C211" s="22" t="s">
        <v>294</v>
      </c>
      <c r="D211" s="22"/>
      <c r="E211">
        <v>96.5</v>
      </c>
      <c r="F211" s="23"/>
      <c r="G211" s="23">
        <f>(0.4+0.7)/2</f>
        <v>0.55000000000000004</v>
      </c>
      <c r="H211" s="23"/>
      <c r="I211">
        <v>9.5000000000000001E-2</v>
      </c>
      <c r="J211" s="22">
        <v>0.27500000000000002</v>
      </c>
      <c r="K211" s="22">
        <v>0.35</v>
      </c>
      <c r="L211" s="22"/>
      <c r="M211" s="22"/>
      <c r="N211" s="23">
        <v>1</v>
      </c>
      <c r="O211" s="23">
        <v>7.4999999999999997E-2</v>
      </c>
      <c r="P211" s="22"/>
      <c r="Q211" s="22">
        <f>(0.4+0.7)/2</f>
        <v>0.55000000000000004</v>
      </c>
      <c r="R211" s="22"/>
      <c r="S211" s="23">
        <v>0.60000000000000009</v>
      </c>
      <c r="T211" s="22"/>
      <c r="U211" s="22">
        <v>7.4999999999999997E-2</v>
      </c>
      <c r="V211" s="23"/>
      <c r="W211" s="22">
        <v>0.125</v>
      </c>
      <c r="X211" s="22"/>
      <c r="Y211" s="1">
        <f t="shared" si="11"/>
        <v>8.1752349999999988E-2</v>
      </c>
      <c r="Z211" s="31" t="str">
        <f t="shared" si="12"/>
        <v>=</v>
      </c>
      <c r="AB211" s="31">
        <f>240+280</f>
        <v>520</v>
      </c>
      <c r="AC211">
        <f t="shared" si="13"/>
        <v>260</v>
      </c>
      <c r="AF211">
        <v>5.9</v>
      </c>
      <c r="AG211" s="36">
        <v>2710</v>
      </c>
      <c r="AH211">
        <v>260</v>
      </c>
      <c r="AJ211" s="22"/>
    </row>
    <row r="212" spans="1:36" x14ac:dyDescent="0.2">
      <c r="B212" s="1" t="s">
        <v>1514</v>
      </c>
      <c r="C212" s="22" t="s">
        <v>1522</v>
      </c>
      <c r="D212" s="22"/>
      <c r="E212">
        <v>96.5</v>
      </c>
      <c r="F212" s="23"/>
      <c r="G212" s="23">
        <f>(0.4+0.7)/2</f>
        <v>0.55000000000000004</v>
      </c>
      <c r="H212" s="23"/>
      <c r="I212">
        <v>9.5000000000000001E-2</v>
      </c>
      <c r="J212" s="22">
        <v>0.27500000000000002</v>
      </c>
      <c r="K212" s="22">
        <v>0.35</v>
      </c>
      <c r="L212" s="22"/>
      <c r="M212" s="22"/>
      <c r="N212" s="23">
        <v>1</v>
      </c>
      <c r="O212" s="23">
        <v>7.4999999999999997E-2</v>
      </c>
      <c r="P212" s="22"/>
      <c r="Q212" s="22">
        <f>(0.4+0.7)/2</f>
        <v>0.55000000000000004</v>
      </c>
      <c r="R212" s="22"/>
      <c r="S212" s="23">
        <v>0.60000000000000009</v>
      </c>
      <c r="T212" s="22"/>
      <c r="U212" s="22">
        <v>7.4999999999999997E-2</v>
      </c>
      <c r="V212" s="23"/>
      <c r="W212" s="22">
        <v>0.125</v>
      </c>
      <c r="X212" s="22"/>
      <c r="Y212" s="1">
        <f t="shared" si="11"/>
        <v>8.1752349999999988E-2</v>
      </c>
      <c r="Z212" s="31" t="str">
        <f t="shared" si="12"/>
        <v>=</v>
      </c>
      <c r="AB212" s="31">
        <f>310+362</f>
        <v>672</v>
      </c>
      <c r="AC212">
        <f t="shared" si="13"/>
        <v>336</v>
      </c>
      <c r="AF212">
        <v>5.9</v>
      </c>
      <c r="AG212" s="36">
        <v>2710</v>
      </c>
      <c r="AH212">
        <v>336</v>
      </c>
      <c r="AJ212" s="22"/>
    </row>
    <row r="213" spans="1:36" x14ac:dyDescent="0.2">
      <c r="A213" s="14" t="s">
        <v>1526</v>
      </c>
      <c r="B213" s="1" t="s">
        <v>1527</v>
      </c>
      <c r="C213" s="22" t="s">
        <v>1528</v>
      </c>
      <c r="D213" s="22"/>
      <c r="E213">
        <v>89.25</v>
      </c>
      <c r="F213" s="23"/>
      <c r="G213" s="23"/>
      <c r="H213" s="23"/>
      <c r="I213">
        <v>2.5000000000000001E-2</v>
      </c>
      <c r="J213" s="22">
        <v>1.75</v>
      </c>
      <c r="K213" s="22">
        <v>7.4999999999999997E-2</v>
      </c>
      <c r="L213" s="22"/>
      <c r="M213" s="22"/>
      <c r="N213" s="23">
        <v>2.35</v>
      </c>
      <c r="O213" s="23">
        <v>0.05</v>
      </c>
      <c r="P213" s="22">
        <v>2.5000000000000001E-2</v>
      </c>
      <c r="Q213" s="22"/>
      <c r="R213" s="22"/>
      <c r="S213" s="23">
        <v>7.4999999999999997E-2</v>
      </c>
      <c r="T213" s="22"/>
      <c r="U213" s="22">
        <v>0.03</v>
      </c>
      <c r="V213" s="23"/>
      <c r="W213" s="22">
        <v>36.35</v>
      </c>
      <c r="X213" s="22">
        <f>(0.1+0.16)/2</f>
        <v>0.13</v>
      </c>
      <c r="Y213" s="1">
        <f t="shared" si="11"/>
        <v>9.8591499999999999E-2</v>
      </c>
      <c r="Z213" s="31" t="str">
        <f t="shared" si="12"/>
        <v>=</v>
      </c>
      <c r="AB213" s="31">
        <f>359+427</f>
        <v>786</v>
      </c>
      <c r="AC213">
        <f t="shared" si="13"/>
        <v>393</v>
      </c>
      <c r="AF213">
        <v>5.9</v>
      </c>
      <c r="AG213" s="36">
        <v>2825</v>
      </c>
      <c r="AH213">
        <v>393</v>
      </c>
      <c r="AJ213" s="22"/>
    </row>
    <row r="214" spans="1:36" x14ac:dyDescent="0.2">
      <c r="A214" s="14" t="s">
        <v>1526</v>
      </c>
      <c r="B214" s="1" t="s">
        <v>1527</v>
      </c>
      <c r="C214" s="22" t="s">
        <v>1556</v>
      </c>
      <c r="D214" s="22"/>
      <c r="E214">
        <v>89.25</v>
      </c>
      <c r="F214" s="23"/>
      <c r="G214" s="23"/>
      <c r="H214" s="23"/>
      <c r="I214">
        <v>2.5000000000000001E-2</v>
      </c>
      <c r="J214" s="22">
        <v>1.75</v>
      </c>
      <c r="K214" s="22">
        <v>7.4999999999999997E-2</v>
      </c>
      <c r="L214" s="22"/>
      <c r="M214" s="22"/>
      <c r="N214" s="23">
        <v>2.35</v>
      </c>
      <c r="O214" s="23">
        <v>0.05</v>
      </c>
      <c r="P214" s="22">
        <v>2.5000000000000001E-2</v>
      </c>
      <c r="Q214" s="22"/>
      <c r="R214" s="22"/>
      <c r="S214" s="23">
        <v>7.4999999999999997E-2</v>
      </c>
      <c r="T214" s="22"/>
      <c r="U214" s="22">
        <v>0.03</v>
      </c>
      <c r="V214" s="23"/>
      <c r="W214" s="22">
        <v>36.35</v>
      </c>
      <c r="X214" s="22">
        <f>(0.1+0.16)/2</f>
        <v>0.13</v>
      </c>
      <c r="Y214" s="1">
        <f t="shared" si="11"/>
        <v>9.8591499999999999E-2</v>
      </c>
      <c r="Z214" s="31" t="str">
        <f t="shared" si="12"/>
        <v>=</v>
      </c>
      <c r="AB214" s="31">
        <f>365+455</f>
        <v>820</v>
      </c>
      <c r="AC214">
        <f t="shared" si="13"/>
        <v>410</v>
      </c>
      <c r="AF214">
        <v>5.9</v>
      </c>
      <c r="AG214" s="36">
        <v>2825</v>
      </c>
      <c r="AH214">
        <v>410</v>
      </c>
      <c r="AJ214" s="22"/>
    </row>
    <row r="215" spans="1:36" x14ac:dyDescent="0.2">
      <c r="A215" s="14" t="s">
        <v>1544</v>
      </c>
      <c r="B215" s="1" t="s">
        <v>1545</v>
      </c>
      <c r="C215" s="22" t="s">
        <v>284</v>
      </c>
      <c r="D215" s="22"/>
      <c r="E215">
        <v>93.1</v>
      </c>
      <c r="F215" s="23"/>
      <c r="G215" s="23"/>
      <c r="H215" s="23"/>
      <c r="I215">
        <v>0.22499999999999998</v>
      </c>
      <c r="J215" s="22">
        <v>0.1</v>
      </c>
      <c r="K215" s="22">
        <v>0.2</v>
      </c>
      <c r="L215" s="22"/>
      <c r="M215" s="22"/>
      <c r="N215" s="23">
        <v>1.2</v>
      </c>
      <c r="O215" s="23">
        <v>0.27500000000000002</v>
      </c>
      <c r="P215" s="22"/>
      <c r="Q215" s="22"/>
      <c r="R215" s="22"/>
      <c r="S215" s="23">
        <v>0.17499999999999999</v>
      </c>
      <c r="T215" s="22"/>
      <c r="U215" s="22">
        <v>2.5000000000000001E-2</v>
      </c>
      <c r="V215" s="23"/>
      <c r="W215" s="22">
        <v>4.5</v>
      </c>
      <c r="X215" s="22">
        <f>(0.08+0.2)/2</f>
        <v>0.14000000000000001</v>
      </c>
      <c r="Y215" s="1">
        <f t="shared" si="11"/>
        <v>5.9089499999999996E-2</v>
      </c>
      <c r="Z215" s="31" t="str">
        <f t="shared" si="12"/>
        <v>=</v>
      </c>
      <c r="AB215" s="31">
        <f>299+331</f>
        <v>630</v>
      </c>
      <c r="AC215">
        <f t="shared" si="13"/>
        <v>315</v>
      </c>
      <c r="AF215">
        <v>5.9</v>
      </c>
      <c r="AG215" s="36">
        <v>2780</v>
      </c>
      <c r="AH215">
        <v>315</v>
      </c>
      <c r="AJ215" s="22"/>
    </row>
    <row r="216" spans="1:36" x14ac:dyDescent="0.2">
      <c r="A216" s="14" t="s">
        <v>1544</v>
      </c>
      <c r="B216" s="1" t="s">
        <v>1545</v>
      </c>
      <c r="C216" s="22" t="s">
        <v>294</v>
      </c>
      <c r="D216" s="22"/>
      <c r="E216">
        <v>93.1</v>
      </c>
      <c r="F216" s="23"/>
      <c r="G216" s="23"/>
      <c r="H216" s="23"/>
      <c r="I216">
        <v>0.22499999999999998</v>
      </c>
      <c r="J216" s="22">
        <v>0.1</v>
      </c>
      <c r="K216" s="22">
        <v>0.2</v>
      </c>
      <c r="L216" s="22"/>
      <c r="M216" s="22"/>
      <c r="N216" s="23">
        <v>1.2</v>
      </c>
      <c r="O216" s="23">
        <v>0.27500000000000002</v>
      </c>
      <c r="P216" s="22"/>
      <c r="Q216" s="22"/>
      <c r="R216" s="22"/>
      <c r="S216" s="23">
        <v>0.17499999999999999</v>
      </c>
      <c r="T216" s="22"/>
      <c r="U216" s="22">
        <v>2.5000000000000001E-2</v>
      </c>
      <c r="V216" s="23"/>
      <c r="W216" s="22">
        <v>4.5</v>
      </c>
      <c r="X216" s="22">
        <f>(0.08+0.2)/2</f>
        <v>0.14000000000000001</v>
      </c>
      <c r="Y216" s="1">
        <f t="shared" si="11"/>
        <v>5.9089499999999996E-2</v>
      </c>
      <c r="Z216" s="31" t="str">
        <f t="shared" si="12"/>
        <v>=</v>
      </c>
      <c r="AB216" s="31">
        <f>318+352</f>
        <v>670</v>
      </c>
      <c r="AC216">
        <f t="shared" si="13"/>
        <v>335</v>
      </c>
      <c r="AF216">
        <v>5.9</v>
      </c>
      <c r="AG216" s="36">
        <v>2780</v>
      </c>
      <c r="AH216">
        <v>335</v>
      </c>
      <c r="AJ216" s="22"/>
    </row>
    <row r="217" spans="1:36" x14ac:dyDescent="0.2">
      <c r="A217" s="14" t="s">
        <v>1562</v>
      </c>
      <c r="B217" s="1" t="s">
        <v>1563</v>
      </c>
      <c r="C217" s="22" t="s">
        <v>1528</v>
      </c>
      <c r="D217" s="22"/>
      <c r="E217">
        <v>89.5</v>
      </c>
      <c r="F217" s="23"/>
      <c r="G217" s="23"/>
      <c r="H217" s="23"/>
      <c r="I217">
        <v>0.02</v>
      </c>
      <c r="J217" s="22">
        <v>1.9</v>
      </c>
      <c r="K217" s="22">
        <v>6.5000000000000002E-2</v>
      </c>
      <c r="L217" s="22"/>
      <c r="M217" s="22"/>
      <c r="N217" s="23">
        <v>2.0499999999999998</v>
      </c>
      <c r="O217" s="23">
        <v>0.02</v>
      </c>
      <c r="P217" s="22"/>
      <c r="Q217" s="22"/>
      <c r="R217" s="22"/>
      <c r="S217" s="23">
        <v>0.05</v>
      </c>
      <c r="T217" s="22"/>
      <c r="U217" s="22">
        <v>0.03</v>
      </c>
      <c r="V217" s="23"/>
      <c r="W217" s="22">
        <v>6.2</v>
      </c>
      <c r="X217" s="22">
        <f>(0.05+0.1)/22</f>
        <v>6.8181818181818196E-3</v>
      </c>
      <c r="Y217" s="1">
        <f t="shared" si="11"/>
        <v>8.5535099999999975E-2</v>
      </c>
      <c r="Z217" s="31" t="str">
        <f t="shared" si="12"/>
        <v>=</v>
      </c>
      <c r="AB217" s="31">
        <f>358+447</f>
        <v>805</v>
      </c>
      <c r="AC217">
        <f t="shared" si="13"/>
        <v>402.5</v>
      </c>
      <c r="AF217">
        <v>5.9</v>
      </c>
      <c r="AG217" s="36">
        <v>2830</v>
      </c>
      <c r="AH217">
        <v>402.5</v>
      </c>
      <c r="AJ217" s="22"/>
    </row>
    <row r="218" spans="1:36" x14ac:dyDescent="0.2">
      <c r="A218" s="14" t="s">
        <v>1581</v>
      </c>
      <c r="B218" s="1" t="s">
        <v>1582</v>
      </c>
      <c r="C218" s="22" t="s">
        <v>1583</v>
      </c>
      <c r="D218" s="22"/>
      <c r="E218">
        <v>87.6</v>
      </c>
      <c r="F218" s="23"/>
      <c r="G218" s="23"/>
      <c r="H218" s="23"/>
      <c r="I218">
        <v>0.16</v>
      </c>
      <c r="J218" s="22">
        <v>1.5499999999999998</v>
      </c>
      <c r="K218" s="22">
        <v>0.17499999999999999</v>
      </c>
      <c r="L218" s="22"/>
      <c r="M218" s="22"/>
      <c r="N218" s="23">
        <v>2.4500000000000002</v>
      </c>
      <c r="O218" s="23">
        <v>0.1</v>
      </c>
      <c r="P218" s="22"/>
      <c r="Q218" s="22"/>
      <c r="R218" s="22"/>
      <c r="S218" s="23">
        <v>0.125</v>
      </c>
      <c r="T218" s="22"/>
      <c r="U218" s="22">
        <v>0.05</v>
      </c>
      <c r="V218" s="23"/>
      <c r="W218" s="22">
        <v>7.6999999999999993</v>
      </c>
      <c r="X218" s="22"/>
      <c r="Y218" s="1">
        <f t="shared" si="11"/>
        <v>0.10721055</v>
      </c>
      <c r="Z218" s="31" t="str">
        <f t="shared" si="12"/>
        <v>=</v>
      </c>
      <c r="AB218" s="31">
        <f>379+441</f>
        <v>820</v>
      </c>
      <c r="AC218">
        <f t="shared" si="13"/>
        <v>410</v>
      </c>
      <c r="AF218">
        <v>5.9</v>
      </c>
      <c r="AG218" s="36">
        <v>2855</v>
      </c>
      <c r="AH218">
        <v>410</v>
      </c>
      <c r="AJ218" s="22"/>
    </row>
    <row r="219" spans="1:36" x14ac:dyDescent="0.2">
      <c r="A219" s="14" t="s">
        <v>1581</v>
      </c>
      <c r="B219" s="1" t="s">
        <v>1582</v>
      </c>
      <c r="C219" s="22" t="s">
        <v>1596</v>
      </c>
      <c r="D219" s="22"/>
      <c r="E219">
        <v>87.6</v>
      </c>
      <c r="F219" s="23"/>
      <c r="G219" s="23"/>
      <c r="H219" s="23"/>
      <c r="I219">
        <v>0.16</v>
      </c>
      <c r="J219" s="22">
        <v>1.5499999999999998</v>
      </c>
      <c r="K219" s="22">
        <v>0.17499999999999999</v>
      </c>
      <c r="L219" s="22"/>
      <c r="M219" s="22"/>
      <c r="N219" s="23">
        <v>2.4500000000000002</v>
      </c>
      <c r="O219" s="23">
        <v>0.1</v>
      </c>
      <c r="P219" s="22"/>
      <c r="Q219" s="22"/>
      <c r="R219" s="22"/>
      <c r="S219" s="23">
        <v>0.125</v>
      </c>
      <c r="T219" s="22"/>
      <c r="U219" s="22">
        <v>0.05</v>
      </c>
      <c r="V219" s="23"/>
      <c r="W219" s="22">
        <v>7.6999999999999993</v>
      </c>
      <c r="X219" s="22"/>
      <c r="Y219" s="1">
        <f t="shared" si="11"/>
        <v>0.10721055</v>
      </c>
      <c r="Z219" s="31" t="str">
        <f t="shared" si="12"/>
        <v>=</v>
      </c>
      <c r="AB219" s="31">
        <f>372+448</f>
        <v>820</v>
      </c>
      <c r="AC219">
        <f t="shared" si="13"/>
        <v>410</v>
      </c>
      <c r="AF219">
        <v>5.9</v>
      </c>
      <c r="AG219" s="36">
        <v>2855</v>
      </c>
      <c r="AH219">
        <v>410</v>
      </c>
      <c r="AJ219" s="22"/>
    </row>
    <row r="220" spans="1:36" x14ac:dyDescent="0.2">
      <c r="A220" s="14" t="s">
        <v>1581</v>
      </c>
      <c r="B220" s="1" t="s">
        <v>1582</v>
      </c>
      <c r="C220" s="22" t="s">
        <v>1597</v>
      </c>
      <c r="D220" s="22"/>
      <c r="E220">
        <v>87.6</v>
      </c>
      <c r="F220" s="23"/>
      <c r="G220" s="23"/>
      <c r="H220" s="23"/>
      <c r="I220">
        <v>0.16</v>
      </c>
      <c r="J220" s="22">
        <v>1.5499999999999998</v>
      </c>
      <c r="K220" s="22">
        <v>0.17499999999999999</v>
      </c>
      <c r="L220" s="22"/>
      <c r="M220" s="22"/>
      <c r="N220" s="23">
        <v>2.4500000000000002</v>
      </c>
      <c r="O220" s="23">
        <v>0.1</v>
      </c>
      <c r="P220" s="22"/>
      <c r="Q220" s="22"/>
      <c r="R220" s="22"/>
      <c r="S220" s="23">
        <v>0.125</v>
      </c>
      <c r="T220" s="22"/>
      <c r="U220" s="22">
        <v>0.05</v>
      </c>
      <c r="V220" s="23"/>
      <c r="W220" s="22">
        <v>7.6999999999999993</v>
      </c>
      <c r="X220" s="22"/>
      <c r="Y220" s="1">
        <f t="shared" si="11"/>
        <v>0.10721055</v>
      </c>
      <c r="Z220" s="31" t="str">
        <f t="shared" si="12"/>
        <v>=</v>
      </c>
      <c r="AB220" s="31">
        <f>400+442</f>
        <v>842</v>
      </c>
      <c r="AC220">
        <f t="shared" si="13"/>
        <v>421</v>
      </c>
      <c r="AF220">
        <v>5.9</v>
      </c>
      <c r="AG220" s="36">
        <v>2855</v>
      </c>
      <c r="AH220">
        <v>421</v>
      </c>
      <c r="AJ220" s="22"/>
    </row>
    <row r="221" spans="1:36" x14ac:dyDescent="0.2">
      <c r="A221" s="14" t="s">
        <v>1610</v>
      </c>
      <c r="B221" s="1" t="s">
        <v>1611</v>
      </c>
      <c r="C221" s="22" t="s">
        <v>1597</v>
      </c>
      <c r="D221" s="22"/>
      <c r="E221">
        <v>88.8</v>
      </c>
      <c r="F221" s="23"/>
      <c r="G221" s="23"/>
      <c r="H221" s="23"/>
      <c r="I221">
        <v>0.02</v>
      </c>
      <c r="J221" s="22">
        <v>2.2999999999999998</v>
      </c>
      <c r="K221" s="22">
        <v>7.4999999999999997E-2</v>
      </c>
      <c r="L221" s="22"/>
      <c r="M221" s="22"/>
      <c r="N221" s="23">
        <v>2.25</v>
      </c>
      <c r="O221" s="23">
        <v>0.05</v>
      </c>
      <c r="P221" s="22"/>
      <c r="Q221" s="22"/>
      <c r="R221" s="22"/>
      <c r="S221" s="23">
        <v>0.06</v>
      </c>
      <c r="T221" s="22"/>
      <c r="U221" s="22">
        <v>0.03</v>
      </c>
      <c r="V221" s="23"/>
      <c r="W221" s="22">
        <v>6.2</v>
      </c>
      <c r="X221" s="22">
        <f>(0.08+0.15)/2</f>
        <v>0.11499999999999999</v>
      </c>
      <c r="Y221" s="1">
        <f t="shared" si="11"/>
        <v>9.3976599999999993E-2</v>
      </c>
      <c r="Z221" s="31" t="str">
        <f t="shared" si="12"/>
        <v>=</v>
      </c>
      <c r="AB221" s="31">
        <f>359+414</f>
        <v>773</v>
      </c>
      <c r="AC221">
        <f t="shared" si="13"/>
        <v>386.5</v>
      </c>
      <c r="AF221">
        <v>5.9</v>
      </c>
      <c r="AG221" s="36">
        <v>2825</v>
      </c>
      <c r="AH221">
        <v>386.5</v>
      </c>
      <c r="AJ221" s="22"/>
    </row>
    <row r="222" spans="1:36" x14ac:dyDescent="0.2">
      <c r="A222" s="14" t="s">
        <v>1610</v>
      </c>
      <c r="B222" s="1" t="s">
        <v>1611</v>
      </c>
      <c r="C222" s="22" t="s">
        <v>1606</v>
      </c>
      <c r="D222" s="22"/>
      <c r="E222">
        <v>88.8</v>
      </c>
      <c r="F222" s="23"/>
      <c r="G222" s="23"/>
      <c r="H222" s="23"/>
      <c r="I222">
        <v>0.02</v>
      </c>
      <c r="J222" s="22">
        <v>2.2999999999999998</v>
      </c>
      <c r="K222" s="22">
        <v>7.4999999999999997E-2</v>
      </c>
      <c r="L222" s="22"/>
      <c r="M222" s="22"/>
      <c r="N222" s="23">
        <v>2.25</v>
      </c>
      <c r="O222" s="23">
        <v>0.05</v>
      </c>
      <c r="P222" s="22"/>
      <c r="Q222" s="22"/>
      <c r="R222" s="22"/>
      <c r="S222" s="23">
        <v>0.06</v>
      </c>
      <c r="T222" s="22"/>
      <c r="U222" s="22">
        <v>0.03</v>
      </c>
      <c r="V222" s="23"/>
      <c r="W222" s="22">
        <v>6.2</v>
      </c>
      <c r="X222" s="22">
        <f t="shared" ref="X222:X227" si="14">(0.08+0.15)/2</f>
        <v>0.11499999999999999</v>
      </c>
      <c r="Y222" s="1">
        <f t="shared" si="11"/>
        <v>9.3976599999999993E-2</v>
      </c>
      <c r="Z222" s="31" t="str">
        <f t="shared" si="12"/>
        <v>=</v>
      </c>
      <c r="AB222" s="31">
        <f>372+427</f>
        <v>799</v>
      </c>
      <c r="AC222">
        <f t="shared" si="13"/>
        <v>399.5</v>
      </c>
      <c r="AF222">
        <v>5.9</v>
      </c>
      <c r="AG222" s="36">
        <v>2825</v>
      </c>
      <c r="AH222">
        <v>399.5</v>
      </c>
      <c r="AJ222" s="22"/>
    </row>
    <row r="223" spans="1:36" x14ac:dyDescent="0.2">
      <c r="A223" s="14" t="s">
        <v>1610</v>
      </c>
      <c r="B223" s="1" t="s">
        <v>1611</v>
      </c>
      <c r="C223" s="22" t="s">
        <v>1528</v>
      </c>
      <c r="D223" s="22"/>
      <c r="E223">
        <v>88.8</v>
      </c>
      <c r="F223" s="23"/>
      <c r="G223" s="23"/>
      <c r="H223" s="23"/>
      <c r="I223">
        <v>0.02</v>
      </c>
      <c r="J223" s="22">
        <v>2.2999999999999998</v>
      </c>
      <c r="K223" s="22">
        <v>7.4999999999999997E-2</v>
      </c>
      <c r="L223" s="22"/>
      <c r="M223" s="22"/>
      <c r="N223" s="23">
        <v>2.25</v>
      </c>
      <c r="O223" s="23">
        <v>0.05</v>
      </c>
      <c r="P223" s="22"/>
      <c r="Q223" s="22"/>
      <c r="R223" s="22"/>
      <c r="S223" s="23">
        <v>0.06</v>
      </c>
      <c r="T223" s="22"/>
      <c r="U223" s="22">
        <v>0.03</v>
      </c>
      <c r="V223" s="23"/>
      <c r="W223" s="22">
        <v>6.2</v>
      </c>
      <c r="X223" s="22">
        <f t="shared" si="14"/>
        <v>0.11499999999999999</v>
      </c>
      <c r="Y223" s="1">
        <f t="shared" si="11"/>
        <v>9.3976599999999993E-2</v>
      </c>
      <c r="Z223" s="31" t="str">
        <f t="shared" si="12"/>
        <v>=</v>
      </c>
      <c r="AB223" s="31">
        <f>393+462</f>
        <v>855</v>
      </c>
      <c r="AC223">
        <f t="shared" si="13"/>
        <v>427.5</v>
      </c>
      <c r="AF223">
        <v>5.9</v>
      </c>
      <c r="AG223" s="36">
        <v>2825</v>
      </c>
      <c r="AH223">
        <v>427.5</v>
      </c>
      <c r="AJ223" s="22"/>
    </row>
    <row r="224" spans="1:36" x14ac:dyDescent="0.2">
      <c r="A224" s="14" t="s">
        <v>1610</v>
      </c>
      <c r="B224" s="1" t="s">
        <v>1611</v>
      </c>
      <c r="C224" s="22" t="s">
        <v>1607</v>
      </c>
      <c r="D224" s="22"/>
      <c r="E224">
        <v>88.8</v>
      </c>
      <c r="F224" s="23"/>
      <c r="G224" s="23"/>
      <c r="H224" s="23"/>
      <c r="I224">
        <v>0.02</v>
      </c>
      <c r="J224" s="22">
        <v>2.2999999999999998</v>
      </c>
      <c r="K224" s="22">
        <v>7.4999999999999997E-2</v>
      </c>
      <c r="L224" s="22"/>
      <c r="M224" s="22"/>
      <c r="N224" s="23">
        <v>2.25</v>
      </c>
      <c r="O224" s="23">
        <v>0.05</v>
      </c>
      <c r="P224" s="22"/>
      <c r="Q224" s="22"/>
      <c r="R224" s="22"/>
      <c r="S224" s="23">
        <v>0.06</v>
      </c>
      <c r="T224" s="22"/>
      <c r="U224" s="22">
        <v>0.03</v>
      </c>
      <c r="V224" s="23"/>
      <c r="W224" s="22">
        <v>6.2</v>
      </c>
      <c r="X224" s="22">
        <f t="shared" si="14"/>
        <v>0.11499999999999999</v>
      </c>
      <c r="Y224" s="1">
        <f t="shared" si="11"/>
        <v>9.3976599999999993E-2</v>
      </c>
      <c r="Z224" s="31" t="str">
        <f t="shared" si="12"/>
        <v>=</v>
      </c>
      <c r="AB224" s="31">
        <f>372+434</f>
        <v>806</v>
      </c>
      <c r="AC224">
        <f t="shared" si="13"/>
        <v>403</v>
      </c>
      <c r="AF224">
        <v>5.9</v>
      </c>
      <c r="AG224" s="36">
        <v>2825</v>
      </c>
      <c r="AH224">
        <v>403</v>
      </c>
      <c r="AJ224" s="22"/>
    </row>
    <row r="225" spans="1:36" x14ac:dyDescent="0.2">
      <c r="A225" s="14" t="s">
        <v>1610</v>
      </c>
      <c r="B225" s="1" t="s">
        <v>1611</v>
      </c>
      <c r="C225" s="22" t="s">
        <v>1608</v>
      </c>
      <c r="D225" s="22"/>
      <c r="E225">
        <v>88.8</v>
      </c>
      <c r="F225" s="23"/>
      <c r="G225" s="23"/>
      <c r="H225" s="23"/>
      <c r="I225">
        <v>0.02</v>
      </c>
      <c r="J225" s="22">
        <v>2.2999999999999998</v>
      </c>
      <c r="K225" s="22">
        <v>7.4999999999999997E-2</v>
      </c>
      <c r="L225" s="22"/>
      <c r="M225" s="22"/>
      <c r="N225" s="23">
        <v>2.25</v>
      </c>
      <c r="O225" s="23">
        <v>0.05</v>
      </c>
      <c r="P225" s="22"/>
      <c r="Q225" s="22"/>
      <c r="R225" s="22"/>
      <c r="S225" s="23">
        <v>0.06</v>
      </c>
      <c r="T225" s="22"/>
      <c r="U225" s="22">
        <v>0.03</v>
      </c>
      <c r="V225" s="23"/>
      <c r="W225" s="22">
        <v>6.2</v>
      </c>
      <c r="X225" s="22">
        <f t="shared" si="14"/>
        <v>0.11499999999999999</v>
      </c>
      <c r="Y225" s="1">
        <f t="shared" si="11"/>
        <v>9.3976599999999993E-2</v>
      </c>
      <c r="Z225" s="31" t="str">
        <f t="shared" si="12"/>
        <v>=</v>
      </c>
      <c r="AB225" s="31">
        <f>345+434</f>
        <v>779</v>
      </c>
      <c r="AC225">
        <f t="shared" si="13"/>
        <v>389.5</v>
      </c>
      <c r="AF225">
        <v>5.9</v>
      </c>
      <c r="AG225" s="36">
        <v>2825</v>
      </c>
      <c r="AH225">
        <v>389.5</v>
      </c>
      <c r="AJ225" s="22"/>
    </row>
    <row r="226" spans="1:36" x14ac:dyDescent="0.2">
      <c r="A226" s="14" t="s">
        <v>1610</v>
      </c>
      <c r="B226" s="1" t="s">
        <v>1611</v>
      </c>
      <c r="C226" s="22" t="s">
        <v>1556</v>
      </c>
      <c r="D226" s="22"/>
      <c r="E226">
        <v>88.8</v>
      </c>
      <c r="F226" s="23"/>
      <c r="G226" s="23"/>
      <c r="H226" s="23"/>
      <c r="I226">
        <v>0.02</v>
      </c>
      <c r="J226" s="22">
        <v>2.2999999999999998</v>
      </c>
      <c r="K226" s="22">
        <v>7.4999999999999997E-2</v>
      </c>
      <c r="L226" s="22"/>
      <c r="M226" s="22"/>
      <c r="N226" s="23">
        <v>2.25</v>
      </c>
      <c r="O226" s="23">
        <v>0.05</v>
      </c>
      <c r="P226" s="22"/>
      <c r="Q226" s="22"/>
      <c r="R226" s="22"/>
      <c r="S226" s="23">
        <v>0.06</v>
      </c>
      <c r="T226" s="22"/>
      <c r="U226" s="22">
        <v>0.03</v>
      </c>
      <c r="V226" s="23"/>
      <c r="W226" s="22">
        <v>6.2</v>
      </c>
      <c r="X226" s="22">
        <f t="shared" si="14"/>
        <v>0.11499999999999999</v>
      </c>
      <c r="Y226" s="1">
        <f t="shared" si="11"/>
        <v>9.3976599999999993E-2</v>
      </c>
      <c r="Z226" s="31" t="str">
        <f t="shared" si="12"/>
        <v>=</v>
      </c>
      <c r="AB226" s="31">
        <f>407+490</f>
        <v>897</v>
      </c>
      <c r="AC226">
        <f t="shared" si="13"/>
        <v>448.5</v>
      </c>
      <c r="AF226">
        <v>5.9</v>
      </c>
      <c r="AG226" s="36">
        <v>2825</v>
      </c>
      <c r="AH226">
        <v>448.5</v>
      </c>
      <c r="AJ226" s="22"/>
    </row>
    <row r="227" spans="1:36" x14ac:dyDescent="0.2">
      <c r="A227" s="14" t="s">
        <v>1610</v>
      </c>
      <c r="B227" s="1" t="s">
        <v>1611</v>
      </c>
      <c r="C227" s="22" t="s">
        <v>1609</v>
      </c>
      <c r="D227" s="22"/>
      <c r="E227">
        <v>88.8</v>
      </c>
      <c r="F227" s="23"/>
      <c r="G227" s="23"/>
      <c r="H227" s="23"/>
      <c r="I227">
        <v>0.02</v>
      </c>
      <c r="J227" s="22">
        <v>2.2999999999999998</v>
      </c>
      <c r="K227" s="22">
        <v>7.4999999999999997E-2</v>
      </c>
      <c r="L227" s="22"/>
      <c r="M227" s="22"/>
      <c r="N227" s="23">
        <v>2.25</v>
      </c>
      <c r="O227" s="23">
        <v>0.05</v>
      </c>
      <c r="P227" s="22"/>
      <c r="Q227" s="22"/>
      <c r="R227" s="22"/>
      <c r="S227" s="23">
        <v>0.06</v>
      </c>
      <c r="T227" s="22"/>
      <c r="U227" s="22">
        <v>0.03</v>
      </c>
      <c r="V227" s="23"/>
      <c r="W227" s="22">
        <v>6.2</v>
      </c>
      <c r="X227" s="22">
        <f t="shared" si="14"/>
        <v>0.11499999999999999</v>
      </c>
      <c r="Y227" s="1">
        <f t="shared" si="11"/>
        <v>9.3976599999999993E-2</v>
      </c>
      <c r="Z227" s="31" t="str">
        <f t="shared" si="12"/>
        <v>=</v>
      </c>
      <c r="AB227" s="31">
        <f>407+490</f>
        <v>897</v>
      </c>
      <c r="AC227">
        <f t="shared" si="13"/>
        <v>448.5</v>
      </c>
      <c r="AF227">
        <v>5.9</v>
      </c>
      <c r="AG227" s="36">
        <v>2825</v>
      </c>
      <c r="AH227">
        <v>448.5</v>
      </c>
      <c r="AJ227" s="22"/>
    </row>
    <row r="228" spans="1:36" x14ac:dyDescent="0.2">
      <c r="A228" s="14" t="s">
        <v>1638</v>
      </c>
      <c r="B228" s="1" t="s">
        <v>1639</v>
      </c>
      <c r="C228" s="22" t="s">
        <v>1640</v>
      </c>
      <c r="D228" s="22"/>
      <c r="E228">
        <v>87.2</v>
      </c>
      <c r="F228" s="23"/>
      <c r="G228" s="23"/>
      <c r="H228" s="23"/>
      <c r="I228">
        <v>0.02</v>
      </c>
      <c r="J228" s="22">
        <v>2.2999999999999998</v>
      </c>
      <c r="K228" s="22">
        <v>7.4999999999999997E-2</v>
      </c>
      <c r="L228" s="22"/>
      <c r="M228" s="22"/>
      <c r="N228" s="23">
        <v>2.0499999999999998</v>
      </c>
      <c r="O228" s="23">
        <v>2.5000000000000001E-2</v>
      </c>
      <c r="P228" s="22"/>
      <c r="Q228" s="22"/>
      <c r="R228" s="22"/>
      <c r="S228" s="23">
        <v>0.05</v>
      </c>
      <c r="T228" s="22"/>
      <c r="U228" s="22">
        <v>0.03</v>
      </c>
      <c r="V228" s="23"/>
      <c r="W228" s="22">
        <v>8</v>
      </c>
      <c r="X228" s="22">
        <f>(0.08+0.25)/2</f>
        <v>0.16500000000000001</v>
      </c>
      <c r="Y228" s="1">
        <f t="shared" si="11"/>
        <v>8.5535099999999975E-2</v>
      </c>
      <c r="Z228" s="31" t="str">
        <f t="shared" si="12"/>
        <v>=</v>
      </c>
      <c r="AB228" s="31">
        <f>552+615</f>
        <v>1167</v>
      </c>
      <c r="AC228">
        <f t="shared" si="13"/>
        <v>583.5</v>
      </c>
      <c r="AF228">
        <v>5.9</v>
      </c>
      <c r="AG228" s="36">
        <v>2880</v>
      </c>
      <c r="AH228">
        <v>583.5</v>
      </c>
      <c r="AJ228" s="22"/>
    </row>
    <row r="229" spans="1:36" x14ac:dyDescent="0.2">
      <c r="B229" s="1" t="s">
        <v>1639</v>
      </c>
      <c r="C229" s="22" t="s">
        <v>1641</v>
      </c>
      <c r="D229" s="22"/>
      <c r="E229">
        <v>87.2</v>
      </c>
      <c r="F229" s="23"/>
      <c r="G229" s="23"/>
      <c r="H229" s="23"/>
      <c r="I229">
        <v>0.02</v>
      </c>
      <c r="J229" s="22">
        <v>2.2999999999999998</v>
      </c>
      <c r="K229" s="22">
        <v>7.4999999999999997E-2</v>
      </c>
      <c r="L229" s="22"/>
      <c r="M229" s="22"/>
      <c r="N229" s="23">
        <v>2.0499999999999998</v>
      </c>
      <c r="O229" s="23">
        <v>2.5000000000000001E-2</v>
      </c>
      <c r="P229" s="22"/>
      <c r="Q229" s="22"/>
      <c r="R229" s="22"/>
      <c r="S229" s="23">
        <v>0.05</v>
      </c>
      <c r="T229" s="22"/>
      <c r="U229" s="22">
        <v>0.03</v>
      </c>
      <c r="V229" s="23"/>
      <c r="W229" s="22">
        <v>8</v>
      </c>
      <c r="X229" s="22">
        <f>(0.08+0.25)/2</f>
        <v>0.16500000000000001</v>
      </c>
      <c r="Y229" s="1">
        <f t="shared" si="11"/>
        <v>8.5535099999999975E-2</v>
      </c>
      <c r="Z229" s="31" t="str">
        <f t="shared" si="12"/>
        <v>=</v>
      </c>
      <c r="AB229" s="31">
        <f>541+628</f>
        <v>1169</v>
      </c>
      <c r="AC229">
        <f t="shared" si="13"/>
        <v>584.5</v>
      </c>
      <c r="AF229">
        <v>5.9</v>
      </c>
      <c r="AG229" s="36">
        <v>2880</v>
      </c>
      <c r="AH229">
        <v>584.5</v>
      </c>
      <c r="AJ229" s="22"/>
    </row>
    <row r="230" spans="1:36" x14ac:dyDescent="0.2">
      <c r="A230" s="14" t="s">
        <v>1660</v>
      </c>
      <c r="B230" s="1" t="s">
        <v>1661</v>
      </c>
      <c r="C230" s="22" t="s">
        <v>481</v>
      </c>
      <c r="D230" s="22"/>
      <c r="E230">
        <v>89.300000000000011</v>
      </c>
      <c r="F230" s="23"/>
      <c r="G230" s="23"/>
      <c r="H230" s="23"/>
      <c r="I230">
        <v>0.23</v>
      </c>
      <c r="J230" s="22">
        <v>1.6</v>
      </c>
      <c r="K230" s="22">
        <v>0.25</v>
      </c>
      <c r="L230" s="22"/>
      <c r="M230" s="22"/>
      <c r="N230" s="23">
        <v>2.5</v>
      </c>
      <c r="O230" s="23">
        <v>0.15</v>
      </c>
      <c r="P230" s="22"/>
      <c r="Q230" s="22"/>
      <c r="R230" s="22"/>
      <c r="S230" s="23">
        <v>0.2</v>
      </c>
      <c r="T230" s="22"/>
      <c r="U230" s="22">
        <v>0.1</v>
      </c>
      <c r="V230" s="23"/>
      <c r="W230" s="22">
        <v>5.6</v>
      </c>
      <c r="X230" s="22"/>
      <c r="Y230" s="1">
        <f t="shared" si="11"/>
        <v>0.11296590000000001</v>
      </c>
      <c r="Z230" s="31" t="str">
        <f t="shared" si="12"/>
        <v>=</v>
      </c>
      <c r="AB230" s="31">
        <f>386+462</f>
        <v>848</v>
      </c>
      <c r="AC230">
        <f t="shared" si="13"/>
        <v>424</v>
      </c>
      <c r="AF230">
        <v>5.9</v>
      </c>
      <c r="AG230" s="36">
        <v>2795</v>
      </c>
      <c r="AH230">
        <v>424</v>
      </c>
      <c r="AJ230" s="22"/>
    </row>
    <row r="231" spans="1:36" x14ac:dyDescent="0.2">
      <c r="A231" s="14" t="s">
        <v>1660</v>
      </c>
      <c r="B231" s="1" t="s">
        <v>1661</v>
      </c>
      <c r="C231" s="22" t="s">
        <v>294</v>
      </c>
      <c r="D231" s="22"/>
      <c r="E231">
        <v>89.300000000000011</v>
      </c>
      <c r="F231" s="23"/>
      <c r="G231" s="23"/>
      <c r="H231" s="23"/>
      <c r="I231">
        <v>0.23</v>
      </c>
      <c r="J231" s="22">
        <v>1.6</v>
      </c>
      <c r="K231" s="22">
        <v>0.25</v>
      </c>
      <c r="L231" s="22"/>
      <c r="M231" s="22"/>
      <c r="N231" s="23">
        <v>2.5</v>
      </c>
      <c r="O231" s="23">
        <v>0.15</v>
      </c>
      <c r="P231" s="22"/>
      <c r="Q231" s="22"/>
      <c r="R231" s="22"/>
      <c r="S231" s="23">
        <v>0.2</v>
      </c>
      <c r="T231" s="22"/>
      <c r="U231" s="22">
        <v>0.1</v>
      </c>
      <c r="V231" s="23"/>
      <c r="W231" s="22">
        <v>5.6</v>
      </c>
      <c r="X231" s="22"/>
      <c r="Y231" s="1">
        <f t="shared" si="11"/>
        <v>0.11296590000000001</v>
      </c>
      <c r="Z231" s="31" t="str">
        <f t="shared" si="12"/>
        <v>=</v>
      </c>
      <c r="AB231" s="31">
        <f>359+530</f>
        <v>889</v>
      </c>
      <c r="AC231">
        <f t="shared" si="13"/>
        <v>444.5</v>
      </c>
      <c r="AF231">
        <v>5.9</v>
      </c>
      <c r="AG231" s="36">
        <v>2795</v>
      </c>
      <c r="AH231">
        <v>444.5</v>
      </c>
      <c r="AJ231" s="22"/>
    </row>
    <row r="232" spans="1:36" x14ac:dyDescent="0.2">
      <c r="A232" s="14" t="s">
        <v>1660</v>
      </c>
      <c r="B232" s="1" t="s">
        <v>1661</v>
      </c>
      <c r="C232" s="22" t="s">
        <v>529</v>
      </c>
      <c r="D232" s="22"/>
      <c r="E232">
        <v>89.300000000000011</v>
      </c>
      <c r="F232" s="23"/>
      <c r="G232" s="23"/>
      <c r="H232" s="23"/>
      <c r="I232">
        <v>0.23</v>
      </c>
      <c r="J232" s="22">
        <v>1.6</v>
      </c>
      <c r="K232" s="22">
        <v>0.25</v>
      </c>
      <c r="L232" s="22"/>
      <c r="M232" s="22"/>
      <c r="N232" s="23">
        <v>2.5</v>
      </c>
      <c r="O232" s="23">
        <v>0.15</v>
      </c>
      <c r="P232" s="22"/>
      <c r="Q232" s="22"/>
      <c r="R232" s="22"/>
      <c r="S232" s="23">
        <v>0.2</v>
      </c>
      <c r="T232" s="22"/>
      <c r="U232" s="22">
        <v>0.1</v>
      </c>
      <c r="V232" s="23"/>
      <c r="W232" s="22">
        <v>5.6</v>
      </c>
      <c r="X232" s="22"/>
      <c r="Y232" s="1">
        <f t="shared" si="11"/>
        <v>0.11296590000000001</v>
      </c>
      <c r="Z232" s="31" t="str">
        <f t="shared" si="12"/>
        <v>=</v>
      </c>
      <c r="AB232" s="31">
        <f>317+531</f>
        <v>848</v>
      </c>
      <c r="AC232">
        <f t="shared" si="13"/>
        <v>424</v>
      </c>
      <c r="AF232">
        <v>5.9</v>
      </c>
      <c r="AG232" s="36">
        <v>2795</v>
      </c>
      <c r="AH232">
        <v>424</v>
      </c>
      <c r="AJ232" s="22"/>
    </row>
    <row r="233" spans="1:36" x14ac:dyDescent="0.2">
      <c r="A233" s="14" t="s">
        <v>1660</v>
      </c>
      <c r="B233" s="1" t="s">
        <v>1661</v>
      </c>
      <c r="C233" s="22" t="s">
        <v>583</v>
      </c>
      <c r="D233" s="22"/>
      <c r="E233">
        <v>89.300000000000011</v>
      </c>
      <c r="F233" s="23"/>
      <c r="G233" s="23"/>
      <c r="H233" s="23"/>
      <c r="I233">
        <v>0.23</v>
      </c>
      <c r="J233" s="22">
        <v>1.6</v>
      </c>
      <c r="K233" s="22">
        <v>0.25</v>
      </c>
      <c r="L233" s="22"/>
      <c r="M233" s="22"/>
      <c r="N233" s="23">
        <v>2.5</v>
      </c>
      <c r="O233" s="23">
        <v>0.15</v>
      </c>
      <c r="P233" s="22"/>
      <c r="Q233" s="22"/>
      <c r="R233" s="22"/>
      <c r="S233" s="23">
        <v>0.2</v>
      </c>
      <c r="T233" s="22"/>
      <c r="U233" s="22">
        <v>0.1</v>
      </c>
      <c r="V233" s="23"/>
      <c r="W233" s="22">
        <v>5.6</v>
      </c>
      <c r="X233" s="22"/>
      <c r="Y233" s="1">
        <f t="shared" si="11"/>
        <v>0.11296590000000001</v>
      </c>
      <c r="Z233" s="31" t="str">
        <f t="shared" si="12"/>
        <v>=</v>
      </c>
      <c r="AB233" s="31">
        <f>345+496</f>
        <v>841</v>
      </c>
      <c r="AC233">
        <f t="shared" si="13"/>
        <v>420.5</v>
      </c>
      <c r="AF233">
        <v>5.9</v>
      </c>
      <c r="AG233" s="36">
        <v>2795</v>
      </c>
      <c r="AH233">
        <v>420.5</v>
      </c>
      <c r="AJ233" s="22"/>
    </row>
    <row r="234" spans="1:36" x14ac:dyDescent="0.2">
      <c r="A234" s="14" t="s">
        <v>1660</v>
      </c>
      <c r="B234" s="1" t="s">
        <v>1661</v>
      </c>
      <c r="C234" s="22" t="s">
        <v>1260</v>
      </c>
      <c r="D234" s="22"/>
      <c r="E234">
        <v>89.300000000000011</v>
      </c>
      <c r="F234" s="23"/>
      <c r="G234" s="23"/>
      <c r="H234" s="23"/>
      <c r="I234">
        <v>0.23</v>
      </c>
      <c r="J234" s="22">
        <v>1.6</v>
      </c>
      <c r="K234" s="22">
        <v>0.25</v>
      </c>
      <c r="L234" s="22"/>
      <c r="M234" s="22"/>
      <c r="N234" s="23">
        <v>2.5</v>
      </c>
      <c r="O234" s="23">
        <v>0.15</v>
      </c>
      <c r="P234" s="22"/>
      <c r="Q234" s="22"/>
      <c r="R234" s="22"/>
      <c r="S234" s="23">
        <v>0.2</v>
      </c>
      <c r="T234" s="22"/>
      <c r="U234" s="22">
        <v>0.1</v>
      </c>
      <c r="V234" s="23"/>
      <c r="W234" s="22">
        <v>5.6</v>
      </c>
      <c r="X234" s="22"/>
      <c r="Y234" s="1">
        <f t="shared" si="11"/>
        <v>0.11296590000000001</v>
      </c>
      <c r="Z234" s="31" t="str">
        <f t="shared" si="12"/>
        <v>=</v>
      </c>
      <c r="AB234" s="31">
        <f>372+462</f>
        <v>834</v>
      </c>
      <c r="AC234">
        <f t="shared" si="13"/>
        <v>417</v>
      </c>
      <c r="AF234">
        <v>5.9</v>
      </c>
      <c r="AG234" s="36">
        <v>2795</v>
      </c>
      <c r="AH234">
        <v>417</v>
      </c>
      <c r="AJ234" s="22"/>
    </row>
    <row r="235" spans="1:36" x14ac:dyDescent="0.2">
      <c r="A235" s="14" t="s">
        <v>1660</v>
      </c>
      <c r="B235" s="1" t="s">
        <v>1661</v>
      </c>
      <c r="C235" s="22" t="s">
        <v>1583</v>
      </c>
      <c r="D235" s="22"/>
      <c r="E235">
        <v>89.300000000000011</v>
      </c>
      <c r="F235" s="23"/>
      <c r="G235" s="23"/>
      <c r="H235" s="23"/>
      <c r="I235">
        <v>0.23</v>
      </c>
      <c r="J235" s="22">
        <v>1.6</v>
      </c>
      <c r="K235" s="22">
        <v>0.25</v>
      </c>
      <c r="L235" s="22"/>
      <c r="M235" s="22"/>
      <c r="N235" s="23">
        <v>2.5</v>
      </c>
      <c r="O235" s="23">
        <v>0.15</v>
      </c>
      <c r="P235" s="22"/>
      <c r="Q235" s="22"/>
      <c r="R235" s="22"/>
      <c r="S235" s="23">
        <v>0.2</v>
      </c>
      <c r="T235" s="22"/>
      <c r="U235" s="22">
        <v>0.1</v>
      </c>
      <c r="V235" s="23"/>
      <c r="W235" s="22">
        <v>5.6</v>
      </c>
      <c r="X235" s="22"/>
      <c r="Y235" s="1">
        <f t="shared" si="11"/>
        <v>0.11296590000000001</v>
      </c>
      <c r="Z235" s="31" t="str">
        <f t="shared" si="12"/>
        <v>=</v>
      </c>
      <c r="AB235" s="31">
        <f>303+448</f>
        <v>751</v>
      </c>
      <c r="AC235">
        <f t="shared" si="13"/>
        <v>375.5</v>
      </c>
      <c r="AF235">
        <v>5.9</v>
      </c>
      <c r="AG235" s="36">
        <v>2795</v>
      </c>
      <c r="AH235">
        <v>375.5</v>
      </c>
      <c r="AJ235" s="22"/>
    </row>
    <row r="236" spans="1:36" x14ac:dyDescent="0.2">
      <c r="A236" s="14" t="s">
        <v>1660</v>
      </c>
      <c r="B236" s="1" t="s">
        <v>1661</v>
      </c>
      <c r="C236" s="22" t="s">
        <v>1596</v>
      </c>
      <c r="D236" s="22"/>
      <c r="E236">
        <v>89.300000000000011</v>
      </c>
      <c r="F236" s="23"/>
      <c r="G236" s="23"/>
      <c r="H236" s="23"/>
      <c r="I236">
        <v>0.23</v>
      </c>
      <c r="J236" s="22">
        <v>1.6</v>
      </c>
      <c r="K236" s="22">
        <v>0.25</v>
      </c>
      <c r="L236" s="22"/>
      <c r="M236" s="22"/>
      <c r="N236" s="23">
        <v>2.5</v>
      </c>
      <c r="O236" s="23">
        <v>0.15</v>
      </c>
      <c r="P236" s="22"/>
      <c r="Q236" s="22"/>
      <c r="R236" s="22"/>
      <c r="S236" s="23">
        <v>0.2</v>
      </c>
      <c r="T236" s="22"/>
      <c r="U236" s="22">
        <v>0.1</v>
      </c>
      <c r="V236" s="23"/>
      <c r="W236" s="22">
        <v>5.6</v>
      </c>
      <c r="X236" s="22"/>
      <c r="Y236" s="1">
        <f t="shared" si="11"/>
        <v>0.11296590000000001</v>
      </c>
      <c r="Z236" s="31" t="str">
        <f t="shared" si="12"/>
        <v>=</v>
      </c>
      <c r="AB236" s="31">
        <f>317+407</f>
        <v>724</v>
      </c>
      <c r="AC236">
        <f t="shared" si="13"/>
        <v>362</v>
      </c>
      <c r="AF236">
        <v>5.9</v>
      </c>
      <c r="AG236" s="36">
        <v>2795</v>
      </c>
      <c r="AH236">
        <v>362</v>
      </c>
      <c r="AJ236" s="22"/>
    </row>
    <row r="237" spans="1:36" x14ac:dyDescent="0.2">
      <c r="A237" s="14" t="s">
        <v>1660</v>
      </c>
      <c r="B237" s="1" t="s">
        <v>1661</v>
      </c>
      <c r="C237" s="22" t="s">
        <v>1662</v>
      </c>
      <c r="D237" s="22"/>
      <c r="E237">
        <v>89.300000000000011</v>
      </c>
      <c r="F237" s="23"/>
      <c r="G237" s="23"/>
      <c r="H237" s="23"/>
      <c r="I237">
        <v>0.23</v>
      </c>
      <c r="J237" s="22">
        <v>1.6</v>
      </c>
      <c r="K237" s="22">
        <v>0.25</v>
      </c>
      <c r="L237" s="22"/>
      <c r="M237" s="22"/>
      <c r="N237" s="23">
        <v>2.5</v>
      </c>
      <c r="O237" s="23">
        <v>0.15</v>
      </c>
      <c r="P237" s="22"/>
      <c r="Q237" s="22"/>
      <c r="R237" s="22"/>
      <c r="S237" s="23">
        <v>0.2</v>
      </c>
      <c r="T237" s="22"/>
      <c r="U237" s="22">
        <v>0.1</v>
      </c>
      <c r="V237" s="23"/>
      <c r="W237" s="22">
        <v>5.6</v>
      </c>
      <c r="X237" s="22"/>
      <c r="Y237" s="1">
        <f t="shared" si="11"/>
        <v>0.11296590000000001</v>
      </c>
      <c r="Z237" s="31" t="str">
        <f t="shared" si="12"/>
        <v>=</v>
      </c>
      <c r="AB237" s="31">
        <f>303+407</f>
        <v>710</v>
      </c>
      <c r="AC237">
        <f t="shared" si="13"/>
        <v>355</v>
      </c>
      <c r="AF237">
        <v>5.9</v>
      </c>
      <c r="AG237" s="36">
        <v>2795</v>
      </c>
      <c r="AH237">
        <v>355</v>
      </c>
      <c r="AJ237" s="22"/>
    </row>
    <row r="238" spans="1:36" x14ac:dyDescent="0.2">
      <c r="A238" s="14" t="s">
        <v>1660</v>
      </c>
      <c r="B238" s="1" t="s">
        <v>1661</v>
      </c>
      <c r="C238" s="22" t="s">
        <v>1663</v>
      </c>
      <c r="D238" s="22"/>
      <c r="E238">
        <v>89.300000000000011</v>
      </c>
      <c r="F238" s="23"/>
      <c r="G238" s="23"/>
      <c r="H238" s="23"/>
      <c r="I238">
        <v>0.23</v>
      </c>
      <c r="J238" s="22">
        <v>1.6</v>
      </c>
      <c r="K238" s="22">
        <v>0.25</v>
      </c>
      <c r="L238" s="22"/>
      <c r="M238" s="22"/>
      <c r="N238" s="23">
        <v>2.5</v>
      </c>
      <c r="O238" s="23">
        <v>0.15</v>
      </c>
      <c r="P238" s="22"/>
      <c r="Q238" s="22"/>
      <c r="R238" s="22"/>
      <c r="S238" s="23">
        <v>0.2</v>
      </c>
      <c r="T238" s="22"/>
      <c r="U238" s="22">
        <v>0.1</v>
      </c>
      <c r="V238" s="23"/>
      <c r="W238" s="22">
        <v>5.6</v>
      </c>
      <c r="X238" s="22"/>
      <c r="Y238" s="1">
        <f t="shared" si="11"/>
        <v>0.11296590000000001</v>
      </c>
      <c r="Z238" s="31" t="str">
        <f t="shared" si="12"/>
        <v>=</v>
      </c>
      <c r="AB238" s="31">
        <f>386+462</f>
        <v>848</v>
      </c>
      <c r="AC238">
        <f t="shared" si="13"/>
        <v>424</v>
      </c>
      <c r="AF238">
        <v>5.9</v>
      </c>
      <c r="AG238" s="36">
        <v>2795</v>
      </c>
      <c r="AH238">
        <v>424</v>
      </c>
      <c r="AJ238" s="22"/>
    </row>
    <row r="239" spans="1:36" x14ac:dyDescent="0.2">
      <c r="A239" s="14" t="s">
        <v>1660</v>
      </c>
      <c r="B239" s="1" t="s">
        <v>1661</v>
      </c>
      <c r="C239" s="22" t="s">
        <v>1556</v>
      </c>
      <c r="D239" s="22"/>
      <c r="E239">
        <v>89.300000000000011</v>
      </c>
      <c r="F239" s="23"/>
      <c r="G239" s="23"/>
      <c r="H239" s="23"/>
      <c r="I239">
        <v>0.23</v>
      </c>
      <c r="J239" s="22">
        <v>1.6</v>
      </c>
      <c r="K239" s="22">
        <v>0.25</v>
      </c>
      <c r="L239" s="22"/>
      <c r="M239" s="22"/>
      <c r="N239" s="23">
        <v>2.5</v>
      </c>
      <c r="O239" s="23">
        <v>0.15</v>
      </c>
      <c r="P239" s="22"/>
      <c r="Q239" s="22"/>
      <c r="R239" s="22"/>
      <c r="S239" s="23">
        <v>0.2</v>
      </c>
      <c r="T239" s="22"/>
      <c r="U239" s="22">
        <v>0.1</v>
      </c>
      <c r="V239" s="23"/>
      <c r="W239" s="22">
        <v>5.6</v>
      </c>
      <c r="X239" s="22"/>
      <c r="Y239" s="1">
        <f t="shared" si="11"/>
        <v>0.11296590000000001</v>
      </c>
      <c r="Z239" s="31" t="str">
        <f t="shared" si="12"/>
        <v>=</v>
      </c>
      <c r="AB239" s="31">
        <f>386+427</f>
        <v>813</v>
      </c>
      <c r="AC239">
        <f t="shared" si="13"/>
        <v>406.5</v>
      </c>
      <c r="AF239">
        <v>5.9</v>
      </c>
      <c r="AG239" s="36">
        <v>2795</v>
      </c>
      <c r="AH239">
        <v>406.5</v>
      </c>
      <c r="AJ239" s="22"/>
    </row>
    <row r="240" spans="1:36" x14ac:dyDescent="0.2">
      <c r="A240" s="14" t="s">
        <v>1702</v>
      </c>
      <c r="B240" s="1" t="s">
        <v>1703</v>
      </c>
      <c r="C240" s="22" t="s">
        <v>1583</v>
      </c>
      <c r="D240" s="22"/>
      <c r="E240">
        <v>87.75</v>
      </c>
      <c r="F240" s="23"/>
      <c r="G240" s="23"/>
      <c r="H240" s="23"/>
      <c r="I240">
        <v>0.16</v>
      </c>
      <c r="J240" s="22">
        <v>1.5499999999999998</v>
      </c>
      <c r="K240" s="22">
        <v>0.1</v>
      </c>
      <c r="L240" s="22"/>
      <c r="M240" s="22"/>
      <c r="N240" s="23">
        <v>2.4500000000000002</v>
      </c>
      <c r="O240" s="23">
        <v>0.1</v>
      </c>
      <c r="P240" s="22"/>
      <c r="Q240" s="22"/>
      <c r="R240" s="22"/>
      <c r="S240" s="23">
        <v>7.4999999999999997E-2</v>
      </c>
      <c r="T240" s="22"/>
      <c r="U240" s="22">
        <v>0.05</v>
      </c>
      <c r="V240" s="23"/>
      <c r="W240" s="22">
        <v>7.6999999999999993</v>
      </c>
      <c r="X240" s="22"/>
      <c r="Y240" s="1">
        <f t="shared" si="11"/>
        <v>0.10582305</v>
      </c>
      <c r="Z240" s="31" t="str">
        <f t="shared" si="12"/>
        <v>=</v>
      </c>
      <c r="AB240" s="31">
        <f>379+441</f>
        <v>820</v>
      </c>
      <c r="AC240">
        <f t="shared" si="13"/>
        <v>410</v>
      </c>
      <c r="AF240">
        <v>5.9</v>
      </c>
      <c r="AG240" s="36">
        <v>2855</v>
      </c>
      <c r="AH240">
        <v>410</v>
      </c>
      <c r="AJ240" s="22"/>
    </row>
    <row r="241" spans="1:36" x14ac:dyDescent="0.2">
      <c r="A241" s="14" t="s">
        <v>1702</v>
      </c>
      <c r="B241" s="1" t="s">
        <v>1703</v>
      </c>
      <c r="C241" s="22" t="s">
        <v>1597</v>
      </c>
      <c r="D241" s="22"/>
      <c r="E241">
        <v>87.75</v>
      </c>
      <c r="F241" s="23"/>
      <c r="G241" s="23"/>
      <c r="H241" s="23"/>
      <c r="I241">
        <v>0.16</v>
      </c>
      <c r="J241" s="22">
        <v>1.5499999999999998</v>
      </c>
      <c r="K241" s="22">
        <v>0.1</v>
      </c>
      <c r="L241" s="22"/>
      <c r="M241" s="22"/>
      <c r="N241" s="23">
        <v>2.4500000000000002</v>
      </c>
      <c r="O241" s="23">
        <v>0.1</v>
      </c>
      <c r="P241" s="22"/>
      <c r="Q241" s="22"/>
      <c r="R241" s="22"/>
      <c r="S241" s="23">
        <v>7.4999999999999997E-2</v>
      </c>
      <c r="T241" s="22"/>
      <c r="U241" s="22">
        <v>0.05</v>
      </c>
      <c r="V241" s="23"/>
      <c r="W241" s="22">
        <v>7.6999999999999993</v>
      </c>
      <c r="X241" s="22"/>
      <c r="Y241" s="1">
        <f t="shared" si="11"/>
        <v>0.10582305</v>
      </c>
      <c r="Z241" s="31" t="str">
        <f t="shared" si="12"/>
        <v>=</v>
      </c>
      <c r="AB241" s="31">
        <f>400+442</f>
        <v>842</v>
      </c>
      <c r="AC241">
        <f t="shared" si="13"/>
        <v>421</v>
      </c>
      <c r="AF241">
        <v>5.9</v>
      </c>
      <c r="AG241" s="36">
        <v>2855</v>
      </c>
      <c r="AH241">
        <v>421</v>
      </c>
      <c r="AJ241" s="22"/>
    </row>
    <row r="242" spans="1:36" x14ac:dyDescent="0.2">
      <c r="A242" s="14" t="s">
        <v>1708</v>
      </c>
      <c r="B242" s="1" t="s">
        <v>1709</v>
      </c>
      <c r="C242" s="22" t="s">
        <v>1710</v>
      </c>
      <c r="D242" s="22"/>
      <c r="E242">
        <v>88.6</v>
      </c>
      <c r="F242" s="23"/>
      <c r="G242" s="23"/>
      <c r="H242" s="23"/>
      <c r="I242">
        <v>0.02</v>
      </c>
      <c r="J242" s="22">
        <v>2.2000000000000002</v>
      </c>
      <c r="K242" s="22">
        <v>7.4999999999999997E-2</v>
      </c>
      <c r="L242" s="22"/>
      <c r="M242" s="22"/>
      <c r="N242" s="23">
        <v>2.35</v>
      </c>
      <c r="O242" s="23">
        <v>0.05</v>
      </c>
      <c r="P242" s="22"/>
      <c r="Q242" s="22"/>
      <c r="R242" s="22"/>
      <c r="S242" s="23">
        <v>7.4999999999999997E-2</v>
      </c>
      <c r="T242" s="22"/>
      <c r="U242" s="22">
        <v>0.03</v>
      </c>
      <c r="V242" s="23"/>
      <c r="W242" s="22">
        <v>6.4</v>
      </c>
      <c r="X242" s="22">
        <f>(0.08+0.15)/2</f>
        <v>0.11499999999999999</v>
      </c>
      <c r="Y242" s="1">
        <f t="shared" si="11"/>
        <v>9.8474850000000003E-2</v>
      </c>
      <c r="Z242" s="31" t="str">
        <f t="shared" si="12"/>
        <v>=</v>
      </c>
      <c r="AB242" s="31">
        <f>524+579</f>
        <v>1103</v>
      </c>
      <c r="AC242">
        <f t="shared" si="13"/>
        <v>551.5</v>
      </c>
      <c r="AF242">
        <v>5.9</v>
      </c>
      <c r="AG242" s="36">
        <v>2825</v>
      </c>
      <c r="AH242">
        <v>551.5</v>
      </c>
      <c r="AJ242" s="22"/>
    </row>
    <row r="243" spans="1:36" x14ac:dyDescent="0.2">
      <c r="A243" s="14" t="s">
        <v>1708</v>
      </c>
      <c r="B243" s="1" t="s">
        <v>1709</v>
      </c>
      <c r="C243" s="22" t="s">
        <v>1711</v>
      </c>
      <c r="D243" s="22"/>
      <c r="E243">
        <v>88.6</v>
      </c>
      <c r="F243" s="23"/>
      <c r="G243" s="23"/>
      <c r="H243" s="23"/>
      <c r="I243">
        <v>0.02</v>
      </c>
      <c r="J243" s="22">
        <v>2.2000000000000002</v>
      </c>
      <c r="K243" s="22">
        <v>7.4999999999999997E-2</v>
      </c>
      <c r="L243" s="22"/>
      <c r="M243" s="22"/>
      <c r="N243" s="23">
        <v>2.35</v>
      </c>
      <c r="O243" s="23">
        <v>0.05</v>
      </c>
      <c r="P243" s="22"/>
      <c r="Q243" s="22"/>
      <c r="R243" s="22"/>
      <c r="S243" s="23">
        <v>7.4999999999999997E-2</v>
      </c>
      <c r="T243" s="22"/>
      <c r="U243" s="22">
        <v>0.03</v>
      </c>
      <c r="V243" s="23"/>
      <c r="W243" s="22">
        <v>6.4</v>
      </c>
      <c r="X243" s="22">
        <f t="shared" ref="X243:X245" si="15">(0.08+0.15)/2</f>
        <v>0.11499999999999999</v>
      </c>
      <c r="Y243" s="1">
        <f t="shared" si="11"/>
        <v>9.8474850000000003E-2</v>
      </c>
      <c r="Z243" s="31" t="str">
        <f t="shared" si="12"/>
        <v>=</v>
      </c>
      <c r="AB243" s="31">
        <f>469+607</f>
        <v>1076</v>
      </c>
      <c r="AC243">
        <f t="shared" si="13"/>
        <v>538</v>
      </c>
      <c r="AF243">
        <v>5.9</v>
      </c>
      <c r="AG243" s="36">
        <v>2825</v>
      </c>
      <c r="AH243">
        <v>538</v>
      </c>
      <c r="AJ243" s="22"/>
    </row>
    <row r="244" spans="1:36" x14ac:dyDescent="0.2">
      <c r="A244" s="14" t="s">
        <v>1708</v>
      </c>
      <c r="B244" s="1" t="s">
        <v>1709</v>
      </c>
      <c r="C244" s="22" t="s">
        <v>1640</v>
      </c>
      <c r="D244" s="22"/>
      <c r="E244">
        <v>88.6</v>
      </c>
      <c r="F244" s="23"/>
      <c r="G244" s="23"/>
      <c r="H244" s="23"/>
      <c r="I244">
        <v>0.02</v>
      </c>
      <c r="J244" s="22">
        <v>2.2000000000000002</v>
      </c>
      <c r="K244" s="22">
        <v>7.4999999999999997E-2</v>
      </c>
      <c r="L244" s="22"/>
      <c r="M244" s="22"/>
      <c r="N244" s="23">
        <v>2.35</v>
      </c>
      <c r="O244" s="23">
        <v>0.05</v>
      </c>
      <c r="P244" s="22"/>
      <c r="Q244" s="22"/>
      <c r="R244" s="22"/>
      <c r="S244" s="23">
        <v>7.4999999999999997E-2</v>
      </c>
      <c r="T244" s="22"/>
      <c r="U244" s="22">
        <v>0.03</v>
      </c>
      <c r="V244" s="23"/>
      <c r="W244" s="22">
        <v>6.4</v>
      </c>
      <c r="X244" s="22">
        <f t="shared" si="15"/>
        <v>0.11499999999999999</v>
      </c>
      <c r="Y244" s="1">
        <f t="shared" si="11"/>
        <v>9.8474850000000003E-2</v>
      </c>
      <c r="Z244" s="31" t="str">
        <f t="shared" si="12"/>
        <v>=</v>
      </c>
      <c r="AB244" s="31">
        <f>462+538</f>
        <v>1000</v>
      </c>
      <c r="AC244">
        <f t="shared" si="13"/>
        <v>500</v>
      </c>
      <c r="AF244">
        <v>5.9</v>
      </c>
      <c r="AG244" s="36">
        <v>2825</v>
      </c>
      <c r="AH244">
        <v>500</v>
      </c>
      <c r="AJ244" s="22"/>
    </row>
    <row r="245" spans="1:36" x14ac:dyDescent="0.2">
      <c r="A245" s="14" t="s">
        <v>1708</v>
      </c>
      <c r="B245" s="1" t="s">
        <v>1709</v>
      </c>
      <c r="C245" s="22" t="s">
        <v>1641</v>
      </c>
      <c r="D245" s="22"/>
      <c r="E245">
        <v>88.6</v>
      </c>
      <c r="F245" s="23"/>
      <c r="G245" s="23"/>
      <c r="H245" s="23"/>
      <c r="I245">
        <v>0.02</v>
      </c>
      <c r="J245" s="22">
        <v>2.2000000000000002</v>
      </c>
      <c r="K245" s="22">
        <v>7.4999999999999997E-2</v>
      </c>
      <c r="L245" s="22"/>
      <c r="M245" s="22"/>
      <c r="N245" s="23">
        <v>2.35</v>
      </c>
      <c r="O245" s="23">
        <v>0.05</v>
      </c>
      <c r="P245" s="22"/>
      <c r="Q245" s="22"/>
      <c r="R245" s="22"/>
      <c r="S245" s="23">
        <v>7.4999999999999997E-2</v>
      </c>
      <c r="T245" s="22"/>
      <c r="U245" s="22">
        <v>0.03</v>
      </c>
      <c r="V245" s="23"/>
      <c r="W245" s="22">
        <v>6.4</v>
      </c>
      <c r="X245" s="22">
        <f t="shared" si="15"/>
        <v>0.11499999999999999</v>
      </c>
      <c r="Y245" s="1">
        <f t="shared" si="11"/>
        <v>9.8474850000000003E-2</v>
      </c>
      <c r="Z245" s="31" t="str">
        <f t="shared" si="12"/>
        <v>=</v>
      </c>
      <c r="AB245" s="31">
        <f>524+579</f>
        <v>1103</v>
      </c>
      <c r="AC245">
        <f t="shared" si="13"/>
        <v>551.5</v>
      </c>
      <c r="AF245">
        <v>5.9</v>
      </c>
      <c r="AG245" s="36">
        <v>2825</v>
      </c>
      <c r="AH245">
        <v>551.5</v>
      </c>
      <c r="AJ245" s="22"/>
    </row>
    <row r="246" spans="1:36" x14ac:dyDescent="0.2">
      <c r="A246" s="14" t="s">
        <v>1724</v>
      </c>
      <c r="B246" s="14" t="s">
        <v>1726</v>
      </c>
      <c r="C246" s="22" t="s">
        <v>1725</v>
      </c>
      <c r="D246" s="22"/>
      <c r="E246">
        <v>89.7</v>
      </c>
      <c r="F246" s="23"/>
      <c r="G246" s="23"/>
      <c r="H246" s="25"/>
      <c r="I246">
        <v>0.23</v>
      </c>
      <c r="J246" s="22">
        <v>1.6</v>
      </c>
      <c r="K246" s="22">
        <v>0.1</v>
      </c>
      <c r="L246" s="22"/>
      <c r="M246" s="22"/>
      <c r="N246" s="23">
        <v>2.5</v>
      </c>
      <c r="O246" s="23">
        <v>0.05</v>
      </c>
      <c r="P246" s="22"/>
      <c r="Q246" s="22"/>
      <c r="R246" s="22"/>
      <c r="S246" s="23">
        <v>7.4999999999999997E-2</v>
      </c>
      <c r="T246" s="22"/>
      <c r="U246" s="22">
        <v>0.05</v>
      </c>
      <c r="V246" s="23"/>
      <c r="W246" s="22">
        <v>5.6</v>
      </c>
      <c r="X246" s="22"/>
      <c r="Y246" s="1">
        <f t="shared" si="11"/>
        <v>0.10949715000000002</v>
      </c>
      <c r="Z246" s="31" t="str">
        <f t="shared" si="12"/>
        <v>=</v>
      </c>
      <c r="AB246" s="31">
        <f>455+524</f>
        <v>979</v>
      </c>
      <c r="AC246">
        <f t="shared" si="13"/>
        <v>489.5</v>
      </c>
      <c r="AF246">
        <v>5.9</v>
      </c>
      <c r="AG246" s="36">
        <v>2795</v>
      </c>
      <c r="AH246">
        <v>489.5</v>
      </c>
      <c r="AJ246" s="22"/>
    </row>
    <row r="247" spans="1:36" x14ac:dyDescent="0.2">
      <c r="A247" s="14" t="s">
        <v>1724</v>
      </c>
      <c r="B247" s="14" t="s">
        <v>1726</v>
      </c>
      <c r="C247" s="22" t="s">
        <v>1597</v>
      </c>
      <c r="D247" s="22"/>
      <c r="E247">
        <v>89.7</v>
      </c>
      <c r="F247" s="23"/>
      <c r="G247" s="23"/>
      <c r="H247" s="25"/>
      <c r="I247">
        <v>0.23</v>
      </c>
      <c r="J247" s="22">
        <v>1.6</v>
      </c>
      <c r="K247" s="22">
        <v>0.1</v>
      </c>
      <c r="L247" s="22"/>
      <c r="M247" s="22"/>
      <c r="N247" s="23">
        <v>2.5</v>
      </c>
      <c r="O247" s="23">
        <v>0.05</v>
      </c>
      <c r="P247" s="22"/>
      <c r="Q247" s="22"/>
      <c r="R247" s="22"/>
      <c r="S247" s="23">
        <v>7.4999999999999997E-2</v>
      </c>
      <c r="T247" s="22"/>
      <c r="U247" s="22">
        <v>0.05</v>
      </c>
      <c r="V247" s="23"/>
      <c r="W247" s="22">
        <v>5.6</v>
      </c>
      <c r="X247" s="22"/>
      <c r="Y247" s="1">
        <f t="shared" si="11"/>
        <v>0.10949715000000002</v>
      </c>
      <c r="Z247" s="31" t="str">
        <f t="shared" si="12"/>
        <v>=</v>
      </c>
      <c r="AB247" s="31">
        <f>359+407</f>
        <v>766</v>
      </c>
      <c r="AC247">
        <f t="shared" si="13"/>
        <v>383</v>
      </c>
      <c r="AF247">
        <v>5.9</v>
      </c>
      <c r="AG247" s="36">
        <v>2795</v>
      </c>
      <c r="AH247">
        <v>383</v>
      </c>
      <c r="AJ247" s="22"/>
    </row>
    <row r="248" spans="1:36" x14ac:dyDescent="0.2">
      <c r="A248" s="14" t="s">
        <v>1724</v>
      </c>
      <c r="B248" s="14" t="s">
        <v>1726</v>
      </c>
      <c r="C248" s="22" t="s">
        <v>1606</v>
      </c>
      <c r="D248" s="22"/>
      <c r="E248">
        <v>89.7</v>
      </c>
      <c r="F248" s="23"/>
      <c r="G248" s="23"/>
      <c r="H248" s="25"/>
      <c r="I248">
        <v>0.23</v>
      </c>
      <c r="J248" s="22">
        <v>1.6</v>
      </c>
      <c r="K248" s="22">
        <v>0.1</v>
      </c>
      <c r="L248" s="22"/>
      <c r="M248" s="22"/>
      <c r="N248" s="23">
        <v>2.5</v>
      </c>
      <c r="O248" s="23">
        <v>0.05</v>
      </c>
      <c r="P248" s="22"/>
      <c r="Q248" s="22"/>
      <c r="R248" s="22"/>
      <c r="S248" s="23">
        <v>7.4999999999999997E-2</v>
      </c>
      <c r="T248" s="22"/>
      <c r="U248" s="22">
        <v>0.05</v>
      </c>
      <c r="V248" s="23"/>
      <c r="W248" s="22">
        <v>5.6</v>
      </c>
      <c r="X248" s="22"/>
      <c r="Y248" s="1">
        <f t="shared" si="11"/>
        <v>0.10949715000000002</v>
      </c>
      <c r="Z248" s="31" t="str">
        <f t="shared" si="12"/>
        <v>=</v>
      </c>
      <c r="AB248" s="31">
        <f>359+462</f>
        <v>821</v>
      </c>
      <c r="AC248">
        <f t="shared" si="13"/>
        <v>410.5</v>
      </c>
      <c r="AF248">
        <v>5.9</v>
      </c>
      <c r="AG248" s="36">
        <v>2795</v>
      </c>
      <c r="AH248">
        <v>410.5</v>
      </c>
      <c r="AJ248" s="22"/>
    </row>
    <row r="249" spans="1:36" x14ac:dyDescent="0.2">
      <c r="A249" s="14" t="s">
        <v>1724</v>
      </c>
      <c r="B249" s="14" t="s">
        <v>1726</v>
      </c>
      <c r="C249" s="22" t="s">
        <v>1608</v>
      </c>
      <c r="D249" s="22"/>
      <c r="E249">
        <v>89.7</v>
      </c>
      <c r="F249" s="23"/>
      <c r="G249" s="23"/>
      <c r="H249" s="25"/>
      <c r="I249">
        <v>0.23</v>
      </c>
      <c r="J249" s="22">
        <v>1.6</v>
      </c>
      <c r="K249" s="22">
        <v>0.1</v>
      </c>
      <c r="L249" s="22"/>
      <c r="M249" s="22"/>
      <c r="N249" s="23">
        <v>2.5</v>
      </c>
      <c r="O249" s="23">
        <v>0.05</v>
      </c>
      <c r="P249" s="22"/>
      <c r="Q249" s="22"/>
      <c r="R249" s="22"/>
      <c r="S249" s="23">
        <v>7.4999999999999997E-2</v>
      </c>
      <c r="T249" s="22"/>
      <c r="U249" s="22">
        <v>0.05</v>
      </c>
      <c r="V249" s="23"/>
      <c r="W249" s="22">
        <v>5.6</v>
      </c>
      <c r="X249" s="22"/>
      <c r="Y249" s="1">
        <f t="shared" si="11"/>
        <v>0.10949715000000002</v>
      </c>
      <c r="Z249" s="31" t="str">
        <f t="shared" si="12"/>
        <v>=</v>
      </c>
      <c r="AB249" s="31">
        <f>317+421</f>
        <v>738</v>
      </c>
      <c r="AC249">
        <f t="shared" si="13"/>
        <v>369</v>
      </c>
      <c r="AF249">
        <v>5.9</v>
      </c>
      <c r="AG249" s="36">
        <v>2795</v>
      </c>
      <c r="AH249">
        <v>369</v>
      </c>
      <c r="AJ249" s="22"/>
    </row>
    <row r="250" spans="1:36" x14ac:dyDescent="0.2">
      <c r="A250" s="14" t="s">
        <v>1744</v>
      </c>
      <c r="B250" s="1" t="s">
        <v>1745</v>
      </c>
      <c r="C250" s="22" t="s">
        <v>1608</v>
      </c>
      <c r="D250" s="22"/>
      <c r="E250">
        <v>87.949999999999989</v>
      </c>
      <c r="F250" s="23"/>
      <c r="G250" s="23"/>
      <c r="H250" s="25"/>
      <c r="I250">
        <v>0.15</v>
      </c>
      <c r="J250" s="22">
        <v>1.6</v>
      </c>
      <c r="K250" s="22">
        <v>0.06</v>
      </c>
      <c r="L250" s="22"/>
      <c r="M250" s="22"/>
      <c r="N250" s="23">
        <v>2.2000000000000002</v>
      </c>
      <c r="O250" s="23">
        <v>0.05</v>
      </c>
      <c r="P250" s="22"/>
      <c r="Q250" s="22"/>
      <c r="R250" s="22"/>
      <c r="S250" s="23">
        <v>0.05</v>
      </c>
      <c r="T250" s="22"/>
      <c r="U250" s="22">
        <v>0.03</v>
      </c>
      <c r="V250" s="23"/>
      <c r="W250" s="22">
        <v>7.85</v>
      </c>
      <c r="X250" s="22"/>
      <c r="Y250" s="1">
        <f t="shared" si="11"/>
        <v>9.4691000000000011E-2</v>
      </c>
      <c r="Z250" s="31" t="str">
        <f t="shared" si="12"/>
        <v>=</v>
      </c>
      <c r="AB250" s="31">
        <f>365+469</f>
        <v>834</v>
      </c>
      <c r="AC250">
        <f t="shared" si="13"/>
        <v>417</v>
      </c>
      <c r="AF250">
        <v>5.9</v>
      </c>
      <c r="AG250" s="36">
        <v>2800</v>
      </c>
      <c r="AH250">
        <v>417</v>
      </c>
      <c r="AJ250" s="22"/>
    </row>
    <row r="251" spans="1:36" x14ac:dyDescent="0.2">
      <c r="A251" s="14" t="s">
        <v>1744</v>
      </c>
      <c r="B251" s="1" t="s">
        <v>1745</v>
      </c>
      <c r="C251" s="22" t="s">
        <v>1609</v>
      </c>
      <c r="D251" s="22"/>
      <c r="E251">
        <v>87.949999999999989</v>
      </c>
      <c r="F251" s="23"/>
      <c r="G251" s="23"/>
      <c r="H251" s="25"/>
      <c r="I251">
        <v>0.15</v>
      </c>
      <c r="J251" s="22">
        <v>1.6</v>
      </c>
      <c r="K251" s="22">
        <v>0.06</v>
      </c>
      <c r="L251" s="22"/>
      <c r="M251" s="22"/>
      <c r="N251" s="23">
        <v>2.2000000000000002</v>
      </c>
      <c r="O251" s="23">
        <v>0.05</v>
      </c>
      <c r="P251" s="22"/>
      <c r="Q251" s="22"/>
      <c r="R251" s="22"/>
      <c r="S251" s="23">
        <v>0.05</v>
      </c>
      <c r="T251" s="22"/>
      <c r="U251" s="22">
        <v>0.03</v>
      </c>
      <c r="V251" s="23"/>
      <c r="W251" s="22">
        <v>7.85</v>
      </c>
      <c r="X251" s="22"/>
      <c r="Y251" s="1">
        <f t="shared" si="11"/>
        <v>9.4691000000000011E-2</v>
      </c>
      <c r="Z251" s="31" t="str">
        <f t="shared" si="12"/>
        <v>=</v>
      </c>
      <c r="AB251" s="31">
        <f>503+556</f>
        <v>1059</v>
      </c>
      <c r="AC251">
        <f t="shared" si="13"/>
        <v>529.5</v>
      </c>
      <c r="AF251">
        <v>5.9</v>
      </c>
      <c r="AG251" s="36">
        <v>2800</v>
      </c>
      <c r="AH251">
        <v>529.5</v>
      </c>
      <c r="AJ251" s="22"/>
    </row>
    <row r="252" spans="1:36" x14ac:dyDescent="0.2">
      <c r="A252" s="14" t="s">
        <v>1760</v>
      </c>
      <c r="B252" s="1" t="s">
        <v>1761</v>
      </c>
      <c r="C252" s="22" t="s">
        <v>846</v>
      </c>
      <c r="D252" s="22"/>
      <c r="E252">
        <v>90.05</v>
      </c>
      <c r="F252" s="23"/>
      <c r="G252" s="23"/>
      <c r="H252" s="23"/>
      <c r="I252">
        <v>0.215</v>
      </c>
      <c r="J252" s="22">
        <v>1.5499999999999998</v>
      </c>
      <c r="K252" s="22">
        <v>0.06</v>
      </c>
      <c r="L252" s="22"/>
      <c r="M252" s="22"/>
      <c r="N252" s="23">
        <v>2.25</v>
      </c>
      <c r="O252" s="23">
        <v>0.03</v>
      </c>
      <c r="P252" s="22"/>
      <c r="Q252" s="22"/>
      <c r="R252" s="22"/>
      <c r="S252" s="23">
        <v>0.05</v>
      </c>
      <c r="T252" s="22"/>
      <c r="U252" s="22">
        <v>0.03</v>
      </c>
      <c r="V252" s="23"/>
      <c r="W252" s="22">
        <v>5.7</v>
      </c>
      <c r="X252" s="22"/>
      <c r="Y252" s="1">
        <f t="shared" si="11"/>
        <v>9.8248450000000001E-2</v>
      </c>
      <c r="Z252" s="31" t="str">
        <f t="shared" si="12"/>
        <v>=</v>
      </c>
      <c r="AB252" s="31">
        <f>407+462</f>
        <v>869</v>
      </c>
      <c r="AC252">
        <f t="shared" si="13"/>
        <v>434.5</v>
      </c>
      <c r="AF252">
        <v>5.9</v>
      </c>
      <c r="AG252" s="36">
        <v>2795</v>
      </c>
      <c r="AH252">
        <v>434.5</v>
      </c>
      <c r="AJ252" s="22"/>
    </row>
    <row r="253" spans="1:36" x14ac:dyDescent="0.2">
      <c r="A253" s="14" t="s">
        <v>1760</v>
      </c>
      <c r="B253" s="1" t="s">
        <v>1761</v>
      </c>
      <c r="C253" s="22" t="s">
        <v>583</v>
      </c>
      <c r="D253" s="22"/>
      <c r="E253">
        <v>90.05</v>
      </c>
      <c r="F253" s="23"/>
      <c r="G253" s="23"/>
      <c r="H253" s="23"/>
      <c r="I253">
        <v>0.215</v>
      </c>
      <c r="J253" s="22">
        <v>1.5499999999999998</v>
      </c>
      <c r="K253" s="22">
        <v>0.06</v>
      </c>
      <c r="L253" s="22"/>
      <c r="M253" s="22"/>
      <c r="N253" s="23">
        <v>2.25</v>
      </c>
      <c r="O253" s="23">
        <v>0.03</v>
      </c>
      <c r="P253" s="22"/>
      <c r="Q253" s="22"/>
      <c r="R253" s="22"/>
      <c r="S253" s="23">
        <v>0.05</v>
      </c>
      <c r="T253" s="22"/>
      <c r="U253" s="22">
        <v>0.03</v>
      </c>
      <c r="V253" s="23"/>
      <c r="W253" s="22">
        <v>5.7</v>
      </c>
      <c r="X253" s="22"/>
      <c r="Y253" s="1">
        <f t="shared" si="11"/>
        <v>9.8248450000000001E-2</v>
      </c>
      <c r="Z253" s="31" t="str">
        <f t="shared" si="12"/>
        <v>=</v>
      </c>
      <c r="AB253" s="31">
        <f>462+511</f>
        <v>973</v>
      </c>
      <c r="AC253">
        <f t="shared" si="13"/>
        <v>486.5</v>
      </c>
      <c r="AF253">
        <v>5.9</v>
      </c>
      <c r="AG253" s="36">
        <v>2795</v>
      </c>
      <c r="AH253">
        <v>486.5</v>
      </c>
      <c r="AJ253" s="22"/>
    </row>
    <row r="254" spans="1:36" x14ac:dyDescent="0.2">
      <c r="A254" s="14" t="s">
        <v>1760</v>
      </c>
      <c r="B254" s="1" t="s">
        <v>1761</v>
      </c>
      <c r="C254" s="22" t="s">
        <v>1596</v>
      </c>
      <c r="D254" s="22"/>
      <c r="E254">
        <v>90.05</v>
      </c>
      <c r="F254" s="23"/>
      <c r="G254" s="23"/>
      <c r="H254" s="23"/>
      <c r="I254">
        <v>0.215</v>
      </c>
      <c r="J254" s="22">
        <v>1.5499999999999998</v>
      </c>
      <c r="K254" s="22">
        <v>0.06</v>
      </c>
      <c r="L254" s="22"/>
      <c r="M254" s="22"/>
      <c r="N254" s="23">
        <v>2.25</v>
      </c>
      <c r="O254" s="23">
        <v>0.03</v>
      </c>
      <c r="P254" s="22"/>
      <c r="Q254" s="22"/>
      <c r="R254" s="22"/>
      <c r="S254" s="23">
        <v>0.05</v>
      </c>
      <c r="T254" s="22"/>
      <c r="U254" s="22">
        <v>0.03</v>
      </c>
      <c r="V254" s="23"/>
      <c r="W254" s="22">
        <v>5.7</v>
      </c>
      <c r="X254" s="22"/>
      <c r="Y254" s="1">
        <f t="shared" si="11"/>
        <v>9.8248450000000001E-2</v>
      </c>
      <c r="Z254" s="31" t="str">
        <f t="shared" si="12"/>
        <v>=</v>
      </c>
      <c r="AB254" s="31">
        <f>345+427</f>
        <v>772</v>
      </c>
      <c r="AC254">
        <f t="shared" si="13"/>
        <v>386</v>
      </c>
      <c r="AF254">
        <v>5.9</v>
      </c>
      <c r="AG254" s="36">
        <v>2795</v>
      </c>
      <c r="AH254">
        <v>386</v>
      </c>
      <c r="AJ254" s="22"/>
    </row>
    <row r="255" spans="1:36" x14ac:dyDescent="0.2">
      <c r="A255" s="14" t="s">
        <v>1760</v>
      </c>
      <c r="B255" s="1" t="s">
        <v>1761</v>
      </c>
      <c r="C255" s="22" t="s">
        <v>1762</v>
      </c>
      <c r="D255" s="22"/>
      <c r="E255">
        <v>90.05</v>
      </c>
      <c r="F255" s="23"/>
      <c r="G255" s="23"/>
      <c r="H255" s="23"/>
      <c r="I255">
        <v>0.215</v>
      </c>
      <c r="J255" s="22">
        <v>1.5499999999999998</v>
      </c>
      <c r="K255" s="22">
        <v>0.06</v>
      </c>
      <c r="L255" s="22"/>
      <c r="M255" s="22"/>
      <c r="N255" s="23">
        <v>2.25</v>
      </c>
      <c r="O255" s="23">
        <v>0.03</v>
      </c>
      <c r="P255" s="22"/>
      <c r="Q255" s="22"/>
      <c r="R255" s="22"/>
      <c r="S255" s="23">
        <v>0.05</v>
      </c>
      <c r="T255" s="22"/>
      <c r="U255" s="22">
        <v>0.03</v>
      </c>
      <c r="V255" s="23"/>
      <c r="W255" s="22">
        <v>5.7</v>
      </c>
      <c r="X255" s="22"/>
      <c r="Y255" s="1">
        <f t="shared" si="11"/>
        <v>9.8248450000000001E-2</v>
      </c>
      <c r="Z255" s="31" t="str">
        <f t="shared" si="12"/>
        <v>=</v>
      </c>
      <c r="AB255" s="31">
        <f>379+434</f>
        <v>813</v>
      </c>
      <c r="AC255">
        <f t="shared" si="13"/>
        <v>406.5</v>
      </c>
      <c r="AF255">
        <v>5.9</v>
      </c>
      <c r="AG255" s="36">
        <v>2795</v>
      </c>
      <c r="AH255">
        <v>406.5</v>
      </c>
      <c r="AJ255" s="22"/>
    </row>
    <row r="256" spans="1:36" x14ac:dyDescent="0.2">
      <c r="A256" s="14" t="s">
        <v>1760</v>
      </c>
      <c r="B256" s="1" t="s">
        <v>1761</v>
      </c>
      <c r="C256" s="22" t="s">
        <v>1556</v>
      </c>
      <c r="D256" s="22"/>
      <c r="E256">
        <v>90.05</v>
      </c>
      <c r="F256" s="23"/>
      <c r="G256" s="23"/>
      <c r="H256" s="23"/>
      <c r="I256">
        <v>0.215</v>
      </c>
      <c r="J256" s="22">
        <v>1.5499999999999998</v>
      </c>
      <c r="K256" s="22">
        <v>0.06</v>
      </c>
      <c r="L256" s="22"/>
      <c r="M256" s="22"/>
      <c r="N256" s="23">
        <v>2.25</v>
      </c>
      <c r="O256" s="23">
        <v>0.03</v>
      </c>
      <c r="P256" s="22"/>
      <c r="Q256" s="22"/>
      <c r="R256" s="22"/>
      <c r="S256" s="23">
        <v>0.05</v>
      </c>
      <c r="T256" s="22"/>
      <c r="U256" s="22">
        <v>0.03</v>
      </c>
      <c r="V256" s="23"/>
      <c r="W256" s="22">
        <v>5.7</v>
      </c>
      <c r="X256" s="22"/>
      <c r="Y256" s="1">
        <f t="shared" si="11"/>
        <v>9.8248450000000001E-2</v>
      </c>
      <c r="Z256" s="31" t="str">
        <f t="shared" si="12"/>
        <v>=</v>
      </c>
      <c r="AB256" s="31">
        <f>407+450</f>
        <v>857</v>
      </c>
      <c r="AC256">
        <f t="shared" si="13"/>
        <v>428.5</v>
      </c>
      <c r="AF256">
        <v>5.9</v>
      </c>
      <c r="AG256" s="36">
        <v>2795</v>
      </c>
      <c r="AH256">
        <v>428.5</v>
      </c>
      <c r="AJ256" s="22"/>
    </row>
    <row r="257" spans="1:36" x14ac:dyDescent="0.2">
      <c r="A257" s="14" t="s">
        <v>1783</v>
      </c>
      <c r="B257" s="1" t="s">
        <v>1784</v>
      </c>
      <c r="C257" s="22" t="s">
        <v>673</v>
      </c>
      <c r="D257" s="22"/>
      <c r="E257">
        <v>94.6</v>
      </c>
      <c r="F257" s="23"/>
      <c r="G257" s="23"/>
      <c r="H257" s="23"/>
      <c r="I257">
        <v>0.05</v>
      </c>
      <c r="J257" s="22">
        <v>1.3</v>
      </c>
      <c r="K257" s="22">
        <v>0.15</v>
      </c>
      <c r="L257" s="22"/>
      <c r="M257" s="22"/>
      <c r="N257" s="23">
        <v>0.95</v>
      </c>
      <c r="O257" s="23">
        <v>0.05</v>
      </c>
      <c r="P257" s="22"/>
      <c r="Q257" s="22"/>
      <c r="R257" s="22"/>
      <c r="S257" s="23">
        <v>0.1</v>
      </c>
      <c r="T257" s="22"/>
      <c r="U257" s="22">
        <v>0.05</v>
      </c>
      <c r="V257" s="23"/>
      <c r="W257" s="22">
        <v>0.125</v>
      </c>
      <c r="X257" s="22">
        <f>(0.04+0.16)/2</f>
        <v>0.1</v>
      </c>
      <c r="Y257" s="1">
        <f t="shared" si="11"/>
        <v>4.2720499999999995E-2</v>
      </c>
      <c r="Z257" s="31" t="str">
        <f t="shared" si="12"/>
        <v>=</v>
      </c>
      <c r="AB257" s="31">
        <f>435+450</f>
        <v>885</v>
      </c>
      <c r="AC257">
        <f t="shared" si="13"/>
        <v>442.5</v>
      </c>
      <c r="AF257">
        <v>5.9</v>
      </c>
      <c r="AG257" s="36">
        <v>2545</v>
      </c>
      <c r="AH257">
        <v>442.5</v>
      </c>
      <c r="AJ257" s="22"/>
    </row>
    <row r="258" spans="1:36" x14ac:dyDescent="0.2">
      <c r="A258" s="14" t="s">
        <v>1790</v>
      </c>
      <c r="B258" s="14" t="s">
        <v>1791</v>
      </c>
      <c r="C258" s="22" t="s">
        <v>294</v>
      </c>
      <c r="D258" s="22"/>
      <c r="E258">
        <v>93.75</v>
      </c>
      <c r="F258" s="23"/>
      <c r="G258" s="23"/>
      <c r="H258" s="23"/>
      <c r="I258">
        <v>0.05</v>
      </c>
      <c r="J258" s="22">
        <v>1.9000000000000001</v>
      </c>
      <c r="K258" s="22">
        <v>0.25</v>
      </c>
      <c r="L258" s="22"/>
      <c r="M258" s="22">
        <f>(2.4+2.8)/2</f>
        <v>2.5999999999999996</v>
      </c>
      <c r="N258" s="23">
        <v>0.85</v>
      </c>
      <c r="O258" s="23">
        <v>0.05</v>
      </c>
      <c r="P258" s="22"/>
      <c r="Q258" s="22"/>
      <c r="R258" s="22"/>
      <c r="S258" s="23">
        <v>0.15</v>
      </c>
      <c r="T258" s="22"/>
      <c r="U258" s="22">
        <v>0.05</v>
      </c>
      <c r="V258" s="23"/>
      <c r="W258" s="22">
        <v>0.125</v>
      </c>
      <c r="X258" s="22">
        <f>(0.08+0.16)/2</f>
        <v>0.12</v>
      </c>
      <c r="Y258" s="1">
        <f t="shared" si="11"/>
        <v>4.0025999999999999E-2</v>
      </c>
      <c r="Z258" s="31" t="str">
        <f t="shared" si="12"/>
        <v>=</v>
      </c>
      <c r="AB258" s="31">
        <f>440+505</f>
        <v>945</v>
      </c>
      <c r="AC258">
        <f t="shared" si="13"/>
        <v>472.5</v>
      </c>
      <c r="AF258">
        <v>5.9</v>
      </c>
      <c r="AG258" s="36">
        <v>2585</v>
      </c>
      <c r="AH258">
        <v>472.5</v>
      </c>
      <c r="AJ258" s="22"/>
    </row>
    <row r="259" spans="1:36" x14ac:dyDescent="0.2">
      <c r="A259" s="14" t="s">
        <v>1788</v>
      </c>
      <c r="B259" s="1" t="s">
        <v>1786</v>
      </c>
      <c r="C259" s="22" t="s">
        <v>1785</v>
      </c>
      <c r="D259" s="22"/>
      <c r="E259">
        <v>87.9</v>
      </c>
      <c r="F259" s="23"/>
      <c r="G259" s="23"/>
      <c r="H259" s="23"/>
      <c r="I259">
        <v>0.05</v>
      </c>
      <c r="J259" s="23"/>
      <c r="K259" s="23">
        <v>8.65</v>
      </c>
      <c r="L259" s="23"/>
      <c r="M259" s="23"/>
      <c r="N259" s="23">
        <v>0.05</v>
      </c>
      <c r="O259" s="23"/>
      <c r="P259" s="23"/>
      <c r="Q259" s="23"/>
      <c r="R259" s="23"/>
      <c r="S259" s="23">
        <v>1.7999999999999998</v>
      </c>
      <c r="T259" s="23"/>
      <c r="U259" s="25">
        <v>0.05</v>
      </c>
      <c r="V259" s="23">
        <f>(1.1+1.5)/2</f>
        <v>1.3</v>
      </c>
      <c r="W259" s="23">
        <v>0.125</v>
      </c>
      <c r="X259" s="23"/>
      <c r="Y259" s="1">
        <f t="shared" si="11"/>
        <v>8.13025E-2</v>
      </c>
      <c r="Z259" s="31" t="str">
        <f t="shared" si="12"/>
        <v>=</v>
      </c>
      <c r="AB259" s="31">
        <f>380+420</f>
        <v>800</v>
      </c>
      <c r="AC259">
        <f t="shared" si="13"/>
        <v>400</v>
      </c>
      <c r="AF259">
        <v>5.9</v>
      </c>
      <c r="AG259" s="36">
        <v>2920</v>
      </c>
      <c r="AH259">
        <v>400</v>
      </c>
      <c r="AJ259" s="22"/>
    </row>
    <row r="260" spans="1:36" x14ac:dyDescent="0.2">
      <c r="A260" s="14" t="s">
        <v>1789</v>
      </c>
      <c r="B260" s="14" t="s">
        <v>1787</v>
      </c>
      <c r="C260" s="22" t="s">
        <v>1785</v>
      </c>
      <c r="D260" s="22"/>
      <c r="E260">
        <v>87.45</v>
      </c>
      <c r="F260" s="23"/>
      <c r="G260" s="23"/>
      <c r="H260" s="23">
        <f>(3.5+4.5)/2</f>
        <v>4</v>
      </c>
      <c r="I260" s="23"/>
      <c r="J260" s="23"/>
      <c r="K260" s="23">
        <f>(7.3+9.3)/2</f>
        <v>8.3000000000000007</v>
      </c>
      <c r="L260" s="23"/>
      <c r="M260" s="23"/>
      <c r="N260" s="23"/>
      <c r="O260" s="23">
        <f>(0+0.05)/2</f>
        <v>2.5000000000000001E-2</v>
      </c>
      <c r="P260" s="23"/>
      <c r="Q260" s="23"/>
      <c r="R260" s="23"/>
      <c r="S260" s="23">
        <f>(0+0.2)/2</f>
        <v>0.1</v>
      </c>
      <c r="T260" s="23"/>
      <c r="U260" s="23">
        <f>(0+0.05)/2</f>
        <v>2.5000000000000001E-2</v>
      </c>
      <c r="V260" s="23"/>
      <c r="W260" s="23">
        <f>(0+0.05)/2</f>
        <v>2.5000000000000001E-2</v>
      </c>
      <c r="X260" s="23"/>
      <c r="Y260" s="1">
        <f t="shared" si="11"/>
        <v>0.177175</v>
      </c>
      <c r="Z260" s="31" t="str">
        <f t="shared" si="12"/>
        <v>=</v>
      </c>
      <c r="AB260" s="31">
        <f>380+420</f>
        <v>800</v>
      </c>
      <c r="AF260">
        <v>5.9</v>
      </c>
      <c r="AG260" s="36">
        <f>(2.9*10^3+2.96*10^3)/2</f>
        <v>2930</v>
      </c>
      <c r="AH260">
        <v>400</v>
      </c>
      <c r="AJ260" s="22"/>
    </row>
    <row r="261" spans="1:36" x14ac:dyDescent="0.2">
      <c r="B261" s="1"/>
      <c r="C261" s="1"/>
      <c r="D261" s="1"/>
      <c r="E261" s="1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</row>
    <row r="262" spans="1:36" x14ac:dyDescent="0.2">
      <c r="B262" s="1"/>
      <c r="C262" s="1"/>
      <c r="D262" s="1"/>
      <c r="E262" s="1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1"/>
    </row>
    <row r="263" spans="1:36" x14ac:dyDescent="0.2">
      <c r="B263" s="1"/>
      <c r="C263" s="1"/>
      <c r="D263" s="1"/>
      <c r="E263" s="1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1"/>
    </row>
    <row r="264" spans="1:36" x14ac:dyDescent="0.2">
      <c r="B264" s="1"/>
      <c r="C264" s="1"/>
      <c r="D264" s="1"/>
      <c r="E264" s="1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1"/>
    </row>
    <row r="265" spans="1:36" x14ac:dyDescent="0.2"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36" x14ac:dyDescent="0.2"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36" x14ac:dyDescent="0.2"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36" x14ac:dyDescent="0.2"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36" x14ac:dyDescent="0.2"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36" x14ac:dyDescent="0.2"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36" x14ac:dyDescent="0.2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36" x14ac:dyDescent="0.2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2:25" x14ac:dyDescent="0.2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2:25" x14ac:dyDescent="0.2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2:25" x14ac:dyDescent="0.2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2:25" x14ac:dyDescent="0.2"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2:25" x14ac:dyDescent="0.2"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2:25" x14ac:dyDescent="0.2"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2:25" x14ac:dyDescent="0.2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2:25" x14ac:dyDescent="0.2"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2:25" x14ac:dyDescent="0.2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2:25" x14ac:dyDescent="0.2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2:25" x14ac:dyDescent="0.2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2:25" x14ac:dyDescent="0.2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2:25" x14ac:dyDescent="0.2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2:25" x14ac:dyDescent="0.2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2:25" x14ac:dyDescent="0.2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2:25" x14ac:dyDescent="0.2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2:25" x14ac:dyDescent="0.2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2:25" x14ac:dyDescent="0.2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2:25" x14ac:dyDescent="0.2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2:25" x14ac:dyDescent="0.2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2:25" x14ac:dyDescent="0.2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2:25" x14ac:dyDescent="0.2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2:25" x14ac:dyDescent="0.2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2:25" x14ac:dyDescent="0.2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2:25" x14ac:dyDescent="0.2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2:25" x14ac:dyDescent="0.2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2:25" x14ac:dyDescent="0.2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2:25" x14ac:dyDescent="0.2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2:25" x14ac:dyDescent="0.2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2:25" x14ac:dyDescent="0.2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2:25" x14ac:dyDescent="0.2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2:25" x14ac:dyDescent="0.2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2:25" x14ac:dyDescent="0.2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2:25" x14ac:dyDescent="0.2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2:25" x14ac:dyDescent="0.2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2:25" x14ac:dyDescent="0.2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2:25" x14ac:dyDescent="0.2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2:25" x14ac:dyDescent="0.2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2:25" x14ac:dyDescent="0.2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2:25" x14ac:dyDescent="0.2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2:25" x14ac:dyDescent="0.2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2:25" x14ac:dyDescent="0.2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2:25" x14ac:dyDescent="0.2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2:25" x14ac:dyDescent="0.2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2:25" x14ac:dyDescent="0.2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2:25" x14ac:dyDescent="0.2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2:25" x14ac:dyDescent="0.2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2:25" x14ac:dyDescent="0.2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2:25" x14ac:dyDescent="0.2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2:25" x14ac:dyDescent="0.2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2:25" x14ac:dyDescent="0.2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2:25" x14ac:dyDescent="0.2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2:25" x14ac:dyDescent="0.2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2:25" x14ac:dyDescent="0.2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2:25" x14ac:dyDescent="0.2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2:25" x14ac:dyDescent="0.2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2:25" x14ac:dyDescent="0.2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2:25" x14ac:dyDescent="0.2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2:25" x14ac:dyDescent="0.2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2:25" x14ac:dyDescent="0.2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2:25" x14ac:dyDescent="0.2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2:25" x14ac:dyDescent="0.2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2:25" x14ac:dyDescent="0.2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2:25" x14ac:dyDescent="0.2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2:25" x14ac:dyDescent="0.2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2:25" x14ac:dyDescent="0.2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2:25" x14ac:dyDescent="0.2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2:25" x14ac:dyDescent="0.2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2:25" x14ac:dyDescent="0.2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2:25" x14ac:dyDescent="0.2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2:25" x14ac:dyDescent="0.2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2:25" x14ac:dyDescent="0.2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2:25" x14ac:dyDescent="0.2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2:25" x14ac:dyDescent="0.2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2:25" x14ac:dyDescent="0.2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2:25" x14ac:dyDescent="0.2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2:25" x14ac:dyDescent="0.2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2:25" x14ac:dyDescent="0.2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2:25" x14ac:dyDescent="0.2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2:25" x14ac:dyDescent="0.2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2:25" x14ac:dyDescent="0.2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2:25" x14ac:dyDescent="0.2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2:25" x14ac:dyDescent="0.2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2:25" x14ac:dyDescent="0.2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2:25" x14ac:dyDescent="0.2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2:25" x14ac:dyDescent="0.2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2:25" x14ac:dyDescent="0.2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2:25" x14ac:dyDescent="0.2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2:25" x14ac:dyDescent="0.2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2:25" x14ac:dyDescent="0.2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2:25" x14ac:dyDescent="0.2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2:25" x14ac:dyDescent="0.2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2:25" x14ac:dyDescent="0.2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2:25" x14ac:dyDescent="0.2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2:25" x14ac:dyDescent="0.2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2:25" x14ac:dyDescent="0.2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2:25" x14ac:dyDescent="0.2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2:25" x14ac:dyDescent="0.2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2:25" x14ac:dyDescent="0.2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2:25" x14ac:dyDescent="0.2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2:25" x14ac:dyDescent="0.2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2:25" x14ac:dyDescent="0.2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2:25" x14ac:dyDescent="0.2"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2:25" x14ac:dyDescent="0.2"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2:25" x14ac:dyDescent="0.2"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2:25" x14ac:dyDescent="0.2"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2:25" x14ac:dyDescent="0.2"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2:25" x14ac:dyDescent="0.2"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2:25" x14ac:dyDescent="0.2"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2:25" x14ac:dyDescent="0.2"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2:25" x14ac:dyDescent="0.2"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2:25" x14ac:dyDescent="0.2"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2:25" x14ac:dyDescent="0.2"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2:25" x14ac:dyDescent="0.2"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2:25" x14ac:dyDescent="0.2"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2:25" x14ac:dyDescent="0.2"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2:25" x14ac:dyDescent="0.2"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2:25" x14ac:dyDescent="0.2"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2:25" x14ac:dyDescent="0.2"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2:25" x14ac:dyDescent="0.2"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2:25" x14ac:dyDescent="0.2"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2:25" x14ac:dyDescent="0.2"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2:25" x14ac:dyDescent="0.2"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2:25" x14ac:dyDescent="0.2"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2:25" x14ac:dyDescent="0.2"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2:25" x14ac:dyDescent="0.2"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2:25" x14ac:dyDescent="0.2"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2:25" x14ac:dyDescent="0.2"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2:25" x14ac:dyDescent="0.2"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2:25" x14ac:dyDescent="0.2"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2:25" x14ac:dyDescent="0.2"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2:25" x14ac:dyDescent="0.2"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2:25" x14ac:dyDescent="0.2"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2:25" x14ac:dyDescent="0.2"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2:25" x14ac:dyDescent="0.2"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2:25" x14ac:dyDescent="0.2"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2:25" x14ac:dyDescent="0.2"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2:25" x14ac:dyDescent="0.2"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2:25" x14ac:dyDescent="0.2"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2:25" x14ac:dyDescent="0.2"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2:25" x14ac:dyDescent="0.2"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2:25" x14ac:dyDescent="0.2"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2:25" x14ac:dyDescent="0.2"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2:25" x14ac:dyDescent="0.2"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2:25" x14ac:dyDescent="0.2"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2:25" x14ac:dyDescent="0.2"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2:25" x14ac:dyDescent="0.2"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2:25" x14ac:dyDescent="0.2"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2:25" x14ac:dyDescent="0.2"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2:25" x14ac:dyDescent="0.2"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2:25" x14ac:dyDescent="0.2"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2:25" x14ac:dyDescent="0.2"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2:25" x14ac:dyDescent="0.2"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2:25" x14ac:dyDescent="0.2"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2:25" x14ac:dyDescent="0.2"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2:25" x14ac:dyDescent="0.2"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2:25" x14ac:dyDescent="0.2"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2:25" x14ac:dyDescent="0.2"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2:25" x14ac:dyDescent="0.2"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2:25" x14ac:dyDescent="0.2"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2:25" x14ac:dyDescent="0.2"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2:25" x14ac:dyDescent="0.2"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2:25" x14ac:dyDescent="0.2"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2:25" x14ac:dyDescent="0.2"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2:25" x14ac:dyDescent="0.2"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</sheetData>
  <mergeCells count="1">
    <mergeCell ref="A2:B2"/>
  </mergeCells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633"/>
  <sheetViews>
    <sheetView workbookViewId="0">
      <selection activeCell="K7" sqref="K7"/>
    </sheetView>
  </sheetViews>
  <sheetFormatPr baseColWidth="10" defaultRowHeight="16" x14ac:dyDescent="0.2"/>
  <cols>
    <col min="1" max="1" width="18" customWidth="1"/>
    <col min="2" max="2" width="21.33203125" customWidth="1"/>
    <col min="11" max="11" width="11.1640625" bestFit="1" customWidth="1"/>
  </cols>
  <sheetData>
    <row r="1" spans="1:11" ht="34" x14ac:dyDescent="0.4">
      <c r="A1" s="46" t="s">
        <v>1837</v>
      </c>
    </row>
    <row r="4" spans="1:11" x14ac:dyDescent="0.2">
      <c r="A4" s="39"/>
      <c r="B4" s="40"/>
      <c r="C4" s="39"/>
    </row>
    <row r="5" spans="1:11" ht="26" x14ac:dyDescent="0.3">
      <c r="A5" s="41" t="s">
        <v>1836</v>
      </c>
      <c r="B5" s="42" t="s">
        <v>9</v>
      </c>
      <c r="C5" s="43" t="s">
        <v>1835</v>
      </c>
      <c r="D5" t="s">
        <v>1839</v>
      </c>
      <c r="G5" t="s">
        <v>1840</v>
      </c>
      <c r="H5" t="s">
        <v>1838</v>
      </c>
      <c r="J5" t="s">
        <v>1841</v>
      </c>
      <c r="K5" t="s">
        <v>1842</v>
      </c>
    </row>
    <row r="6" spans="1:11" x14ac:dyDescent="0.2">
      <c r="A6" s="39"/>
      <c r="B6" s="40"/>
      <c r="C6" s="39"/>
      <c r="J6">
        <v>1</v>
      </c>
      <c r="K6">
        <f>(8*J6)^(3/2)</f>
        <v>22.627416997969508</v>
      </c>
    </row>
    <row r="7" spans="1:11" x14ac:dyDescent="0.2">
      <c r="A7" s="39">
        <v>5.9</v>
      </c>
      <c r="B7" s="44">
        <v>2795</v>
      </c>
      <c r="C7" s="39">
        <v>179</v>
      </c>
      <c r="D7">
        <v>7.03955E-2</v>
      </c>
      <c r="F7">
        <f>1</f>
        <v>1</v>
      </c>
      <c r="G7">
        <f>B7*D7</f>
        <v>196.75542250000001</v>
      </c>
      <c r="H7">
        <f t="shared" ref="H7:H38" si="0">A7*C7</f>
        <v>1056.1000000000001</v>
      </c>
      <c r="J7">
        <f>J6+1</f>
        <v>2</v>
      </c>
      <c r="K7">
        <f t="shared" ref="K7:K70" si="1">(8*J7)^(3/2)</f>
        <v>63.999999999999979</v>
      </c>
    </row>
    <row r="8" spans="1:11" x14ac:dyDescent="0.2">
      <c r="A8" s="39">
        <v>5.9</v>
      </c>
      <c r="B8" s="44">
        <v>2795</v>
      </c>
      <c r="C8" s="39">
        <v>348.5</v>
      </c>
      <c r="D8">
        <v>1.0898749999999999E-2</v>
      </c>
      <c r="F8">
        <f>F7+1</f>
        <v>2</v>
      </c>
      <c r="G8">
        <f t="shared" ref="G8:G71" si="2">B8*D8</f>
        <v>30.462006249999998</v>
      </c>
      <c r="H8">
        <f t="shared" si="0"/>
        <v>2056.15</v>
      </c>
      <c r="J8">
        <f t="shared" ref="J8:J71" si="3">J7+1</f>
        <v>3</v>
      </c>
      <c r="K8">
        <f t="shared" si="1"/>
        <v>117.5755076535926</v>
      </c>
    </row>
    <row r="9" spans="1:11" x14ac:dyDescent="0.2">
      <c r="A9" s="39">
        <v>5.9</v>
      </c>
      <c r="B9" s="44">
        <v>2795</v>
      </c>
      <c r="C9" s="39">
        <v>345</v>
      </c>
      <c r="D9">
        <v>1.4980749999999999E-2</v>
      </c>
      <c r="F9">
        <f t="shared" ref="F9:F72" si="4">F8+1</f>
        <v>3</v>
      </c>
      <c r="G9">
        <f t="shared" si="2"/>
        <v>41.871196249999997</v>
      </c>
      <c r="H9">
        <f t="shared" si="0"/>
        <v>2035.5000000000002</v>
      </c>
      <c r="J9">
        <f t="shared" si="3"/>
        <v>4</v>
      </c>
      <c r="K9">
        <f t="shared" si="1"/>
        <v>181.01933598375612</v>
      </c>
    </row>
    <row r="10" spans="1:11" x14ac:dyDescent="0.2">
      <c r="A10" s="39">
        <v>5.9</v>
      </c>
      <c r="B10" s="44">
        <v>2795</v>
      </c>
      <c r="C10" s="39">
        <v>165</v>
      </c>
      <c r="D10">
        <v>0.16854099999999997</v>
      </c>
      <c r="F10">
        <f t="shared" si="4"/>
        <v>4</v>
      </c>
      <c r="G10">
        <f t="shared" si="2"/>
        <v>471.07209499999993</v>
      </c>
      <c r="H10">
        <f t="shared" si="0"/>
        <v>973.50000000000011</v>
      </c>
      <c r="J10">
        <f t="shared" si="3"/>
        <v>5</v>
      </c>
      <c r="K10">
        <f t="shared" si="1"/>
        <v>252.9822128134704</v>
      </c>
    </row>
    <row r="11" spans="1:11" x14ac:dyDescent="0.2">
      <c r="A11" s="39">
        <v>5.9</v>
      </c>
      <c r="B11" s="44">
        <v>2795</v>
      </c>
      <c r="C11" s="39">
        <v>124</v>
      </c>
      <c r="D11">
        <v>0.16854099999999997</v>
      </c>
      <c r="F11">
        <f t="shared" si="4"/>
        <v>5</v>
      </c>
      <c r="G11">
        <f t="shared" si="2"/>
        <v>471.07209499999993</v>
      </c>
      <c r="H11">
        <f t="shared" si="0"/>
        <v>731.6</v>
      </c>
      <c r="J11">
        <f t="shared" si="3"/>
        <v>6</v>
      </c>
      <c r="K11">
        <f t="shared" si="1"/>
        <v>332.55375505322462</v>
      </c>
    </row>
    <row r="12" spans="1:11" x14ac:dyDescent="0.2">
      <c r="A12" s="39">
        <v>5.9</v>
      </c>
      <c r="B12" s="44">
        <v>2795</v>
      </c>
      <c r="C12" s="39">
        <v>164</v>
      </c>
      <c r="D12">
        <v>0.16854099999999997</v>
      </c>
      <c r="F12">
        <f t="shared" si="4"/>
        <v>6</v>
      </c>
      <c r="G12">
        <f t="shared" si="2"/>
        <v>471.07209499999993</v>
      </c>
      <c r="H12">
        <f t="shared" si="0"/>
        <v>967.6</v>
      </c>
      <c r="J12">
        <f t="shared" si="3"/>
        <v>7</v>
      </c>
      <c r="K12">
        <f t="shared" si="1"/>
        <v>419.06562731868172</v>
      </c>
    </row>
    <row r="13" spans="1:11" x14ac:dyDescent="0.2">
      <c r="A13" s="39">
        <v>5.9</v>
      </c>
      <c r="B13" s="45">
        <v>2770</v>
      </c>
      <c r="C13" s="39">
        <v>194</v>
      </c>
      <c r="D13">
        <v>0.30444499999999997</v>
      </c>
      <c r="F13">
        <f t="shared" si="4"/>
        <v>7</v>
      </c>
      <c r="G13">
        <f t="shared" si="2"/>
        <v>843.31264999999985</v>
      </c>
      <c r="H13">
        <f t="shared" si="0"/>
        <v>1144.6000000000001</v>
      </c>
      <c r="J13">
        <f t="shared" si="3"/>
        <v>8</v>
      </c>
      <c r="K13">
        <f t="shared" si="1"/>
        <v>511.99999999999949</v>
      </c>
    </row>
    <row r="14" spans="1:11" x14ac:dyDescent="0.2">
      <c r="A14" s="39">
        <v>5.9</v>
      </c>
      <c r="B14" s="44">
        <v>2770</v>
      </c>
      <c r="C14" s="39">
        <v>207</v>
      </c>
      <c r="D14">
        <v>0.26097549999999997</v>
      </c>
      <c r="F14">
        <f t="shared" si="4"/>
        <v>8</v>
      </c>
      <c r="G14">
        <f t="shared" si="2"/>
        <v>722.90213499999993</v>
      </c>
      <c r="H14">
        <f t="shared" si="0"/>
        <v>1221.3000000000002</v>
      </c>
      <c r="J14">
        <f t="shared" si="3"/>
        <v>9</v>
      </c>
      <c r="K14">
        <f t="shared" si="1"/>
        <v>610.94025894517677</v>
      </c>
    </row>
    <row r="15" spans="1:11" x14ac:dyDescent="0.2">
      <c r="A15" s="39">
        <v>5.9</v>
      </c>
      <c r="B15" s="44">
        <v>2715</v>
      </c>
      <c r="C15" s="39">
        <v>193</v>
      </c>
      <c r="D15">
        <v>0.37381999999999993</v>
      </c>
      <c r="F15">
        <f t="shared" si="4"/>
        <v>9</v>
      </c>
      <c r="G15">
        <f t="shared" si="2"/>
        <v>1014.9212999999999</v>
      </c>
      <c r="H15">
        <f t="shared" si="0"/>
        <v>1138.7</v>
      </c>
      <c r="J15">
        <f t="shared" si="3"/>
        <v>10</v>
      </c>
      <c r="K15">
        <f t="shared" si="1"/>
        <v>715.54175279993228</v>
      </c>
    </row>
    <row r="16" spans="1:11" x14ac:dyDescent="0.2">
      <c r="A16" s="39">
        <v>5.9</v>
      </c>
      <c r="B16" s="44">
        <v>2715</v>
      </c>
      <c r="C16" s="39">
        <v>296</v>
      </c>
      <c r="D16">
        <v>0.37381999999999993</v>
      </c>
      <c r="F16">
        <f t="shared" si="4"/>
        <v>10</v>
      </c>
      <c r="G16">
        <f t="shared" si="2"/>
        <v>1014.9212999999999</v>
      </c>
      <c r="H16">
        <f t="shared" si="0"/>
        <v>1746.4</v>
      </c>
      <c r="J16">
        <f t="shared" si="3"/>
        <v>11</v>
      </c>
      <c r="K16">
        <f t="shared" si="1"/>
        <v>825.51317372892413</v>
      </c>
    </row>
    <row r="17" spans="1:11" x14ac:dyDescent="0.2">
      <c r="A17" s="39">
        <v>5.9</v>
      </c>
      <c r="B17" s="44">
        <v>2795</v>
      </c>
      <c r="C17" s="39">
        <v>257</v>
      </c>
      <c r="D17">
        <v>0.27015999999999996</v>
      </c>
      <c r="F17">
        <f t="shared" si="4"/>
        <v>11</v>
      </c>
      <c r="G17">
        <f t="shared" si="2"/>
        <v>755.09719999999993</v>
      </c>
      <c r="H17">
        <f t="shared" si="0"/>
        <v>1516.3000000000002</v>
      </c>
      <c r="J17">
        <f t="shared" si="3"/>
        <v>12</v>
      </c>
      <c r="K17">
        <f t="shared" si="1"/>
        <v>940.60406122874019</v>
      </c>
    </row>
    <row r="18" spans="1:11" x14ac:dyDescent="0.2">
      <c r="A18" s="39">
        <v>5.9</v>
      </c>
      <c r="B18" s="44">
        <v>2710</v>
      </c>
      <c r="C18" s="39">
        <v>173.5</v>
      </c>
      <c r="D18">
        <v>0.16207625000000001</v>
      </c>
      <c r="F18">
        <f t="shared" si="4"/>
        <v>12</v>
      </c>
      <c r="G18">
        <f t="shared" si="2"/>
        <v>439.22663750000004</v>
      </c>
      <c r="H18">
        <f t="shared" si="0"/>
        <v>1023.6500000000001</v>
      </c>
      <c r="J18">
        <f t="shared" si="3"/>
        <v>13</v>
      </c>
      <c r="K18">
        <f t="shared" si="1"/>
        <v>1060.596058827299</v>
      </c>
    </row>
    <row r="19" spans="1:11" x14ac:dyDescent="0.2">
      <c r="A19" s="39">
        <v>5.9</v>
      </c>
      <c r="B19" s="44">
        <v>2710</v>
      </c>
      <c r="C19" s="39">
        <v>218</v>
      </c>
      <c r="D19">
        <v>0.16207625000000001</v>
      </c>
      <c r="F19">
        <f t="shared" si="4"/>
        <v>13</v>
      </c>
      <c r="G19">
        <f t="shared" si="2"/>
        <v>439.22663750000004</v>
      </c>
      <c r="H19">
        <f t="shared" si="0"/>
        <v>1286.2</v>
      </c>
      <c r="J19">
        <f t="shared" si="3"/>
        <v>14</v>
      </c>
      <c r="K19">
        <f t="shared" si="1"/>
        <v>1185.2965873569365</v>
      </c>
    </row>
    <row r="20" spans="1:11" x14ac:dyDescent="0.2">
      <c r="A20" s="39">
        <v>5.9</v>
      </c>
      <c r="B20" s="44">
        <v>2685</v>
      </c>
      <c r="C20" s="39">
        <v>110.5</v>
      </c>
      <c r="D20">
        <v>0.20751649999999999</v>
      </c>
      <c r="F20">
        <f t="shared" si="4"/>
        <v>14</v>
      </c>
      <c r="G20">
        <f t="shared" si="2"/>
        <v>557.1818025</v>
      </c>
      <c r="H20">
        <f t="shared" si="0"/>
        <v>651.95000000000005</v>
      </c>
      <c r="J20">
        <f t="shared" si="3"/>
        <v>15</v>
      </c>
      <c r="K20">
        <f t="shared" si="1"/>
        <v>1314.5341380123989</v>
      </c>
    </row>
    <row r="21" spans="1:11" x14ac:dyDescent="0.2">
      <c r="A21" s="39">
        <v>5.9</v>
      </c>
      <c r="B21" s="44">
        <v>2685</v>
      </c>
      <c r="C21" s="39">
        <v>173</v>
      </c>
      <c r="D21">
        <v>0.20751649999999999</v>
      </c>
      <c r="F21">
        <f t="shared" si="4"/>
        <v>15</v>
      </c>
      <c r="G21">
        <f t="shared" si="2"/>
        <v>557.1818025</v>
      </c>
      <c r="H21">
        <f t="shared" si="0"/>
        <v>1020.7</v>
      </c>
      <c r="J21">
        <f t="shared" si="3"/>
        <v>16</v>
      </c>
      <c r="K21">
        <f t="shared" si="1"/>
        <v>1448.1546878700494</v>
      </c>
    </row>
    <row r="22" spans="1:11" x14ac:dyDescent="0.2">
      <c r="A22" s="39">
        <v>5.9</v>
      </c>
      <c r="B22" s="44">
        <v>2685</v>
      </c>
      <c r="C22" s="39">
        <v>124</v>
      </c>
      <c r="D22">
        <v>0.20751649999999999</v>
      </c>
      <c r="F22">
        <f t="shared" si="4"/>
        <v>16</v>
      </c>
      <c r="G22">
        <f t="shared" si="2"/>
        <v>557.1818025</v>
      </c>
      <c r="H22">
        <f t="shared" si="0"/>
        <v>731.6</v>
      </c>
      <c r="J22">
        <f t="shared" si="3"/>
        <v>17</v>
      </c>
      <c r="K22">
        <f t="shared" si="1"/>
        <v>1586.0189153979218</v>
      </c>
    </row>
    <row r="23" spans="1:11" x14ac:dyDescent="0.2">
      <c r="A23" s="39">
        <v>5.9</v>
      </c>
      <c r="B23" s="44">
        <v>2685</v>
      </c>
      <c r="C23" s="39">
        <v>159</v>
      </c>
      <c r="D23">
        <v>0.20751649999999999</v>
      </c>
      <c r="F23">
        <f t="shared" si="4"/>
        <v>17</v>
      </c>
      <c r="G23">
        <f t="shared" si="2"/>
        <v>557.1818025</v>
      </c>
      <c r="H23">
        <f t="shared" si="0"/>
        <v>938.1</v>
      </c>
      <c r="J23">
        <f t="shared" si="3"/>
        <v>18</v>
      </c>
      <c r="K23">
        <f t="shared" si="1"/>
        <v>1728.0000000000009</v>
      </c>
    </row>
    <row r="24" spans="1:11" x14ac:dyDescent="0.2">
      <c r="A24" s="39">
        <v>5.9</v>
      </c>
      <c r="B24" s="44">
        <v>2715</v>
      </c>
      <c r="C24" s="39">
        <v>296</v>
      </c>
      <c r="D24">
        <v>0.2156805</v>
      </c>
      <c r="F24">
        <f t="shared" si="4"/>
        <v>18</v>
      </c>
      <c r="G24">
        <f t="shared" si="2"/>
        <v>585.57255750000002</v>
      </c>
      <c r="H24">
        <f t="shared" si="0"/>
        <v>1746.4</v>
      </c>
      <c r="J24">
        <f t="shared" si="3"/>
        <v>19</v>
      </c>
      <c r="K24">
        <f t="shared" si="1"/>
        <v>1873.981856902569</v>
      </c>
    </row>
    <row r="25" spans="1:11" x14ac:dyDescent="0.2">
      <c r="A25" s="39">
        <v>5.9</v>
      </c>
      <c r="B25" s="44">
        <v>2685</v>
      </c>
      <c r="C25" s="39">
        <v>233</v>
      </c>
      <c r="D25">
        <v>0.27424199999999999</v>
      </c>
      <c r="F25">
        <f t="shared" si="4"/>
        <v>19</v>
      </c>
      <c r="G25">
        <f t="shared" si="2"/>
        <v>736.33976999999993</v>
      </c>
      <c r="H25">
        <f t="shared" si="0"/>
        <v>1374.7</v>
      </c>
      <c r="J25">
        <f t="shared" si="3"/>
        <v>20</v>
      </c>
      <c r="K25">
        <f t="shared" si="1"/>
        <v>2023.8577025077618</v>
      </c>
    </row>
    <row r="26" spans="1:11" x14ac:dyDescent="0.2">
      <c r="A26" s="39">
        <v>5.9</v>
      </c>
      <c r="B26" s="44">
        <v>2685</v>
      </c>
      <c r="C26" s="39">
        <v>172</v>
      </c>
      <c r="D26">
        <v>0.28403499999999998</v>
      </c>
      <c r="F26">
        <f t="shared" si="4"/>
        <v>20</v>
      </c>
      <c r="G26">
        <f t="shared" si="2"/>
        <v>762.63397499999996</v>
      </c>
      <c r="H26">
        <f t="shared" si="0"/>
        <v>1014.8000000000001</v>
      </c>
      <c r="J26">
        <f t="shared" si="3"/>
        <v>21</v>
      </c>
      <c r="K26">
        <f t="shared" si="1"/>
        <v>2177.5288746650403</v>
      </c>
    </row>
    <row r="27" spans="1:11" x14ac:dyDescent="0.2">
      <c r="A27" s="39">
        <v>5.9</v>
      </c>
      <c r="B27" s="44">
        <v>2740</v>
      </c>
      <c r="C27" s="39">
        <v>160</v>
      </c>
      <c r="D27">
        <v>0.23791599999999996</v>
      </c>
      <c r="F27">
        <f t="shared" si="4"/>
        <v>21</v>
      </c>
      <c r="G27">
        <f t="shared" si="2"/>
        <v>651.88983999999994</v>
      </c>
      <c r="H27">
        <f t="shared" si="0"/>
        <v>944</v>
      </c>
      <c r="J27">
        <f t="shared" si="3"/>
        <v>22</v>
      </c>
      <c r="K27">
        <f t="shared" si="1"/>
        <v>2334.9038524102011</v>
      </c>
    </row>
    <row r="28" spans="1:11" x14ac:dyDescent="0.2">
      <c r="A28" s="39">
        <v>5.9</v>
      </c>
      <c r="B28" s="44">
        <v>2740</v>
      </c>
      <c r="C28" s="39">
        <v>150.5</v>
      </c>
      <c r="D28">
        <v>0.29341600000000001</v>
      </c>
      <c r="F28">
        <f t="shared" si="4"/>
        <v>22</v>
      </c>
      <c r="G28">
        <f t="shared" si="2"/>
        <v>803.95983999999999</v>
      </c>
      <c r="H28">
        <f t="shared" si="0"/>
        <v>887.95</v>
      </c>
      <c r="J28">
        <f t="shared" si="3"/>
        <v>23</v>
      </c>
      <c r="K28">
        <f t="shared" si="1"/>
        <v>2495.8974337900995</v>
      </c>
    </row>
    <row r="29" spans="1:11" x14ac:dyDescent="0.2">
      <c r="A29" s="39">
        <v>5.9</v>
      </c>
      <c r="B29" s="44">
        <v>2685</v>
      </c>
      <c r="C29" s="39">
        <v>130.5</v>
      </c>
      <c r="D29">
        <v>0.37381999999999993</v>
      </c>
      <c r="F29">
        <f t="shared" si="4"/>
        <v>23</v>
      </c>
      <c r="G29">
        <f t="shared" si="2"/>
        <v>1003.7066999999998</v>
      </c>
      <c r="H29">
        <f t="shared" si="0"/>
        <v>769.95</v>
      </c>
      <c r="J29">
        <f t="shared" si="3"/>
        <v>24</v>
      </c>
      <c r="K29">
        <f t="shared" si="1"/>
        <v>2660.4300404257951</v>
      </c>
    </row>
    <row r="30" spans="1:11" x14ac:dyDescent="0.2">
      <c r="A30" s="39">
        <v>5.9</v>
      </c>
      <c r="B30" s="44">
        <v>2685</v>
      </c>
      <c r="C30" s="39">
        <v>280</v>
      </c>
      <c r="D30">
        <v>0.37381999999999993</v>
      </c>
      <c r="F30">
        <f t="shared" si="4"/>
        <v>24</v>
      </c>
      <c r="G30">
        <f t="shared" si="2"/>
        <v>1003.7066999999998</v>
      </c>
      <c r="H30">
        <f t="shared" si="0"/>
        <v>1652</v>
      </c>
      <c r="J30">
        <f t="shared" si="3"/>
        <v>25</v>
      </c>
      <c r="K30">
        <f t="shared" si="1"/>
        <v>2828.4271247461875</v>
      </c>
    </row>
    <row r="31" spans="1:11" x14ac:dyDescent="0.2">
      <c r="A31" s="39">
        <v>5.9</v>
      </c>
      <c r="B31" s="44">
        <v>2685</v>
      </c>
      <c r="C31" s="39">
        <v>90</v>
      </c>
      <c r="D31">
        <v>0.208537</v>
      </c>
      <c r="F31">
        <f t="shared" si="4"/>
        <v>25</v>
      </c>
      <c r="G31">
        <f t="shared" si="2"/>
        <v>559.92184499999996</v>
      </c>
      <c r="H31">
        <f t="shared" si="0"/>
        <v>531</v>
      </c>
      <c r="J31">
        <f t="shared" si="3"/>
        <v>26</v>
      </c>
      <c r="K31">
        <f t="shared" si="1"/>
        <v>2999.8186611860388</v>
      </c>
    </row>
    <row r="32" spans="1:11" x14ac:dyDescent="0.2">
      <c r="A32" s="39">
        <v>5.9</v>
      </c>
      <c r="B32" s="44">
        <v>2685</v>
      </c>
      <c r="C32" s="39">
        <v>90</v>
      </c>
      <c r="D32">
        <v>0.208537</v>
      </c>
      <c r="F32">
        <f t="shared" si="4"/>
        <v>26</v>
      </c>
      <c r="G32">
        <f t="shared" si="2"/>
        <v>559.92184499999996</v>
      </c>
      <c r="H32">
        <f t="shared" si="0"/>
        <v>531</v>
      </c>
      <c r="J32">
        <f t="shared" si="3"/>
        <v>27</v>
      </c>
      <c r="K32">
        <f t="shared" si="1"/>
        <v>3174.538706647003</v>
      </c>
    </row>
    <row r="33" spans="1:11" x14ac:dyDescent="0.2">
      <c r="A33" s="39">
        <v>5.9</v>
      </c>
      <c r="B33" s="44">
        <v>2685</v>
      </c>
      <c r="C33" s="39">
        <v>82.55</v>
      </c>
      <c r="D33">
        <v>0.208537</v>
      </c>
      <c r="F33">
        <f t="shared" si="4"/>
        <v>27</v>
      </c>
      <c r="G33">
        <f t="shared" si="2"/>
        <v>559.92184499999996</v>
      </c>
      <c r="H33">
        <f t="shared" si="0"/>
        <v>487.04500000000002</v>
      </c>
      <c r="J33">
        <f t="shared" si="3"/>
        <v>28</v>
      </c>
      <c r="K33">
        <f t="shared" si="1"/>
        <v>3352.5250185494483</v>
      </c>
    </row>
    <row r="34" spans="1:11" x14ac:dyDescent="0.2">
      <c r="A34" s="39">
        <v>5.9</v>
      </c>
      <c r="B34" s="44">
        <v>2685</v>
      </c>
      <c r="C34" s="39">
        <v>205</v>
      </c>
      <c r="D34">
        <v>0.208537</v>
      </c>
      <c r="F34">
        <f t="shared" si="4"/>
        <v>28</v>
      </c>
      <c r="G34">
        <f t="shared" si="2"/>
        <v>559.92184499999996</v>
      </c>
      <c r="H34">
        <f t="shared" si="0"/>
        <v>1209.5</v>
      </c>
      <c r="J34">
        <f t="shared" si="3"/>
        <v>29</v>
      </c>
      <c r="K34">
        <f t="shared" si="1"/>
        <v>3533.7187211208548</v>
      </c>
    </row>
    <row r="35" spans="1:11" x14ac:dyDescent="0.2">
      <c r="A35" s="39">
        <v>5.9</v>
      </c>
      <c r="B35" s="44">
        <v>2680</v>
      </c>
      <c r="C35" s="39">
        <v>241.5</v>
      </c>
      <c r="D35">
        <v>0.2184951</v>
      </c>
      <c r="F35">
        <f t="shared" si="4"/>
        <v>29</v>
      </c>
      <c r="G35">
        <f t="shared" si="2"/>
        <v>585.566868</v>
      </c>
      <c r="H35">
        <f t="shared" si="0"/>
        <v>1424.8500000000001</v>
      </c>
      <c r="J35">
        <f t="shared" si="3"/>
        <v>30</v>
      </c>
      <c r="K35">
        <f t="shared" si="1"/>
        <v>3718.0640123591179</v>
      </c>
    </row>
    <row r="36" spans="1:11" x14ac:dyDescent="0.2">
      <c r="A36" s="39">
        <v>5.9</v>
      </c>
      <c r="B36" s="44">
        <v>2680</v>
      </c>
      <c r="C36" s="39">
        <v>253.5</v>
      </c>
      <c r="D36">
        <v>0.2184951</v>
      </c>
      <c r="F36">
        <f t="shared" si="4"/>
        <v>30</v>
      </c>
      <c r="G36">
        <f t="shared" si="2"/>
        <v>585.566868</v>
      </c>
      <c r="H36">
        <f t="shared" si="0"/>
        <v>1495.65</v>
      </c>
      <c r="J36">
        <f t="shared" si="3"/>
        <v>31</v>
      </c>
      <c r="K36">
        <f t="shared" si="1"/>
        <v>3905.5079055098581</v>
      </c>
    </row>
    <row r="37" spans="1:11" x14ac:dyDescent="0.2">
      <c r="A37" s="39">
        <v>5.9</v>
      </c>
      <c r="B37" s="44">
        <v>2685</v>
      </c>
      <c r="C37" s="39">
        <v>165</v>
      </c>
      <c r="D37">
        <v>0.28403499999999998</v>
      </c>
      <c r="F37">
        <f t="shared" si="4"/>
        <v>31</v>
      </c>
      <c r="G37">
        <f t="shared" si="2"/>
        <v>762.63397499999996</v>
      </c>
      <c r="H37">
        <f t="shared" si="0"/>
        <v>973.50000000000011</v>
      </c>
      <c r="J37">
        <f t="shared" si="3"/>
        <v>32</v>
      </c>
      <c r="K37">
        <f t="shared" si="1"/>
        <v>4095.9999999999968</v>
      </c>
    </row>
    <row r="38" spans="1:11" x14ac:dyDescent="0.2">
      <c r="A38" s="39">
        <v>5.9</v>
      </c>
      <c r="B38" s="44">
        <v>2715</v>
      </c>
      <c r="C38" s="39">
        <v>241.5</v>
      </c>
      <c r="D38">
        <v>0.15916000000000002</v>
      </c>
      <c r="F38">
        <f t="shared" si="4"/>
        <v>32</v>
      </c>
      <c r="G38">
        <f t="shared" si="2"/>
        <v>432.11940000000004</v>
      </c>
      <c r="H38">
        <f t="shared" si="0"/>
        <v>1424.8500000000001</v>
      </c>
      <c r="J38">
        <f t="shared" si="3"/>
        <v>33</v>
      </c>
      <c r="K38">
        <f t="shared" si="1"/>
        <v>4289.4922776477897</v>
      </c>
    </row>
    <row r="39" spans="1:11" x14ac:dyDescent="0.2">
      <c r="A39" s="39">
        <v>5.9</v>
      </c>
      <c r="B39" s="44">
        <v>2715</v>
      </c>
      <c r="C39" s="39">
        <v>200</v>
      </c>
      <c r="D39">
        <v>0.15916000000000002</v>
      </c>
      <c r="F39">
        <f t="shared" si="4"/>
        <v>33</v>
      </c>
      <c r="G39">
        <f t="shared" si="2"/>
        <v>432.11940000000004</v>
      </c>
      <c r="H39">
        <f t="shared" ref="H39:H55" si="5">A39*C39</f>
        <v>1180</v>
      </c>
      <c r="J39">
        <f t="shared" si="3"/>
        <v>34</v>
      </c>
      <c r="K39">
        <f t="shared" si="1"/>
        <v>4485.9389206720198</v>
      </c>
    </row>
    <row r="40" spans="1:11" x14ac:dyDescent="0.2">
      <c r="A40" s="39">
        <v>5.9</v>
      </c>
      <c r="B40" s="44">
        <v>2715</v>
      </c>
      <c r="C40" s="39">
        <v>230.5</v>
      </c>
      <c r="D40">
        <v>0.15916000000000002</v>
      </c>
      <c r="F40">
        <f t="shared" si="4"/>
        <v>34</v>
      </c>
      <c r="G40">
        <f t="shared" si="2"/>
        <v>432.11940000000004</v>
      </c>
      <c r="H40">
        <f t="shared" si="5"/>
        <v>1359.95</v>
      </c>
      <c r="J40">
        <f t="shared" si="3"/>
        <v>35</v>
      </c>
      <c r="K40">
        <f t="shared" si="1"/>
        <v>4685.2961485908208</v>
      </c>
    </row>
    <row r="41" spans="1:11" x14ac:dyDescent="0.2">
      <c r="A41" s="39">
        <v>5.9</v>
      </c>
      <c r="B41" s="44">
        <v>2760</v>
      </c>
      <c r="C41" s="39">
        <v>140</v>
      </c>
      <c r="D41">
        <v>0.27762074999999997</v>
      </c>
      <c r="F41">
        <f t="shared" si="4"/>
        <v>35</v>
      </c>
      <c r="G41">
        <f t="shared" si="2"/>
        <v>766.23326999999995</v>
      </c>
      <c r="H41">
        <f t="shared" si="5"/>
        <v>826</v>
      </c>
      <c r="J41">
        <f t="shared" si="3"/>
        <v>36</v>
      </c>
      <c r="K41">
        <f t="shared" si="1"/>
        <v>4887.5220715614159</v>
      </c>
    </row>
    <row r="42" spans="1:11" x14ac:dyDescent="0.2">
      <c r="A42" s="39">
        <v>5.9</v>
      </c>
      <c r="B42" s="44">
        <v>2700</v>
      </c>
      <c r="C42" s="39">
        <v>140</v>
      </c>
      <c r="D42">
        <v>0.34130999999999995</v>
      </c>
      <c r="F42">
        <f t="shared" si="4"/>
        <v>36</v>
      </c>
      <c r="G42">
        <f t="shared" si="2"/>
        <v>921.53699999999981</v>
      </c>
      <c r="H42">
        <f t="shared" si="5"/>
        <v>826</v>
      </c>
      <c r="J42">
        <f t="shared" si="3"/>
        <v>37</v>
      </c>
      <c r="K42">
        <f t="shared" si="1"/>
        <v>5092.576558089233</v>
      </c>
    </row>
    <row r="43" spans="1:11" x14ac:dyDescent="0.2">
      <c r="A43" s="39">
        <v>5.9</v>
      </c>
      <c r="B43" s="44">
        <v>2655</v>
      </c>
      <c r="C43" s="39">
        <v>145</v>
      </c>
      <c r="D43">
        <v>0.33504099999999998</v>
      </c>
      <c r="F43">
        <f t="shared" si="4"/>
        <v>37</v>
      </c>
      <c r="G43">
        <f t="shared" si="2"/>
        <v>889.5338549999999</v>
      </c>
      <c r="H43">
        <f t="shared" si="5"/>
        <v>855.5</v>
      </c>
      <c r="J43">
        <f t="shared" si="3"/>
        <v>38</v>
      </c>
      <c r="K43">
        <f t="shared" si="1"/>
        <v>5300.4211153454553</v>
      </c>
    </row>
    <row r="44" spans="1:11" x14ac:dyDescent="0.2">
      <c r="A44" s="39">
        <v>5.9</v>
      </c>
      <c r="B44" s="44">
        <v>2685</v>
      </c>
      <c r="C44" s="39">
        <v>55.05</v>
      </c>
      <c r="D44">
        <v>0.14962424999999999</v>
      </c>
      <c r="F44">
        <f t="shared" si="4"/>
        <v>38</v>
      </c>
      <c r="G44">
        <f t="shared" si="2"/>
        <v>401.74111124999996</v>
      </c>
      <c r="H44">
        <f t="shared" si="5"/>
        <v>324.79500000000002</v>
      </c>
      <c r="J44">
        <f t="shared" si="3"/>
        <v>39</v>
      </c>
      <c r="K44">
        <f t="shared" si="1"/>
        <v>5511.0187805885798</v>
      </c>
    </row>
    <row r="45" spans="1:11" x14ac:dyDescent="0.2">
      <c r="A45" s="39">
        <v>5.9</v>
      </c>
      <c r="B45" s="44">
        <v>2680</v>
      </c>
      <c r="C45" s="39">
        <v>130.5</v>
      </c>
      <c r="D45">
        <v>0.33299999999999996</v>
      </c>
      <c r="F45">
        <f t="shared" si="4"/>
        <v>39</v>
      </c>
      <c r="G45">
        <f t="shared" si="2"/>
        <v>892.43999999999994</v>
      </c>
      <c r="H45">
        <f t="shared" si="5"/>
        <v>769.95</v>
      </c>
      <c r="J45">
        <f t="shared" si="3"/>
        <v>40</v>
      </c>
      <c r="K45">
        <f t="shared" si="1"/>
        <v>5724.3340223994601</v>
      </c>
    </row>
    <row r="46" spans="1:11" x14ac:dyDescent="0.2">
      <c r="A46" s="39">
        <v>5.9</v>
      </c>
      <c r="B46" s="44">
        <v>2655</v>
      </c>
      <c r="C46" s="39">
        <v>83.05</v>
      </c>
      <c r="D46">
        <v>0.16813624999999999</v>
      </c>
      <c r="F46">
        <f t="shared" si="4"/>
        <v>40</v>
      </c>
      <c r="G46">
        <f t="shared" si="2"/>
        <v>446.40174374999998</v>
      </c>
      <c r="H46">
        <f t="shared" si="5"/>
        <v>489.995</v>
      </c>
      <c r="J46">
        <f t="shared" si="3"/>
        <v>41</v>
      </c>
      <c r="K46">
        <f t="shared" si="1"/>
        <v>5940.332650618152</v>
      </c>
    </row>
    <row r="47" spans="1:11" x14ac:dyDescent="0.2">
      <c r="A47" s="39">
        <v>5.9</v>
      </c>
      <c r="B47" s="44">
        <v>2515</v>
      </c>
      <c r="C47" s="39">
        <v>186</v>
      </c>
      <c r="D47">
        <v>0.33141624999999997</v>
      </c>
      <c r="F47">
        <f t="shared" si="4"/>
        <v>41</v>
      </c>
      <c r="G47">
        <f t="shared" si="2"/>
        <v>833.51186874999996</v>
      </c>
      <c r="H47">
        <f t="shared" si="5"/>
        <v>1097.4000000000001</v>
      </c>
      <c r="J47">
        <f t="shared" si="3"/>
        <v>42</v>
      </c>
      <c r="K47">
        <f t="shared" si="1"/>
        <v>6158.9817340206482</v>
      </c>
    </row>
    <row r="48" spans="1:11" x14ac:dyDescent="0.2">
      <c r="A48" s="39">
        <v>5.9</v>
      </c>
      <c r="B48" s="44">
        <v>2575</v>
      </c>
      <c r="C48" s="39">
        <v>184.5</v>
      </c>
      <c r="D48">
        <v>0.41370975000000004</v>
      </c>
      <c r="F48">
        <f t="shared" si="4"/>
        <v>42</v>
      </c>
      <c r="G48">
        <f t="shared" si="2"/>
        <v>1065.3026062500001</v>
      </c>
      <c r="H48">
        <f t="shared" si="5"/>
        <v>1088.55</v>
      </c>
      <c r="J48">
        <f t="shared" si="3"/>
        <v>43</v>
      </c>
      <c r="K48">
        <f t="shared" si="1"/>
        <v>6380.2495249010481</v>
      </c>
    </row>
    <row r="49" spans="1:14" x14ac:dyDescent="0.2">
      <c r="A49" s="39">
        <v>5.9</v>
      </c>
      <c r="B49" s="44">
        <v>2880</v>
      </c>
      <c r="C49" s="39">
        <v>185</v>
      </c>
      <c r="D49">
        <v>2.1838499999999997E-2</v>
      </c>
      <c r="F49">
        <f t="shared" si="4"/>
        <v>43</v>
      </c>
      <c r="G49">
        <f t="shared" si="2"/>
        <v>62.894879999999993</v>
      </c>
      <c r="H49">
        <f t="shared" si="5"/>
        <v>1091.5</v>
      </c>
      <c r="J49">
        <f t="shared" si="3"/>
        <v>44</v>
      </c>
      <c r="K49">
        <f t="shared" si="1"/>
        <v>6604.105389831383</v>
      </c>
    </row>
    <row r="50" spans="1:14" x14ac:dyDescent="0.2">
      <c r="A50" s="39">
        <v>5.9</v>
      </c>
      <c r="B50" s="44">
        <v>2880</v>
      </c>
      <c r="C50" s="39">
        <v>172</v>
      </c>
      <c r="D50">
        <v>2.1838499999999997E-2</v>
      </c>
      <c r="F50">
        <f t="shared" si="4"/>
        <v>44</v>
      </c>
      <c r="G50">
        <f t="shared" si="2"/>
        <v>62.894879999999993</v>
      </c>
      <c r="H50">
        <f t="shared" si="5"/>
        <v>1014.8000000000001</v>
      </c>
      <c r="J50">
        <f t="shared" si="3"/>
        <v>45</v>
      </c>
      <c r="K50">
        <f t="shared" si="1"/>
        <v>6830.5197459637011</v>
      </c>
    </row>
    <row r="51" spans="1:14" x14ac:dyDescent="0.2">
      <c r="A51" s="39">
        <v>5.9</v>
      </c>
      <c r="B51" s="44">
        <v>2880</v>
      </c>
      <c r="C51" s="39">
        <v>150.5</v>
      </c>
      <c r="D51">
        <v>2.1838499999999997E-2</v>
      </c>
      <c r="F51">
        <f t="shared" si="4"/>
        <v>45</v>
      </c>
      <c r="G51">
        <f t="shared" si="2"/>
        <v>62.894879999999993</v>
      </c>
      <c r="H51">
        <f t="shared" si="5"/>
        <v>887.95</v>
      </c>
      <c r="J51">
        <f t="shared" si="3"/>
        <v>46</v>
      </c>
      <c r="K51">
        <f t="shared" si="1"/>
        <v>7059.4640023163265</v>
      </c>
    </row>
    <row r="52" spans="1:14" x14ac:dyDescent="0.2">
      <c r="A52" s="39">
        <v>5.9</v>
      </c>
      <c r="B52" s="44">
        <v>2860</v>
      </c>
      <c r="C52" s="39">
        <v>165</v>
      </c>
      <c r="D52">
        <v>4.0099999999999997E-3</v>
      </c>
      <c r="F52">
        <f t="shared" si="4"/>
        <v>46</v>
      </c>
      <c r="G52">
        <f t="shared" si="2"/>
        <v>11.468599999999999</v>
      </c>
      <c r="H52">
        <f t="shared" si="5"/>
        <v>973.50000000000011</v>
      </c>
      <c r="J52">
        <f t="shared" si="3"/>
        <v>47</v>
      </c>
      <c r="K52">
        <f t="shared" si="1"/>
        <v>7290.9105055541631</v>
      </c>
    </row>
    <row r="53" spans="1:14" x14ac:dyDescent="0.2">
      <c r="A53" s="39">
        <v>5.9</v>
      </c>
      <c r="B53" s="44">
        <v>2860</v>
      </c>
      <c r="C53" s="39">
        <v>35</v>
      </c>
      <c r="D53">
        <v>4.0099999999999997E-3</v>
      </c>
      <c r="F53">
        <f t="shared" si="4"/>
        <v>47</v>
      </c>
      <c r="G53">
        <f t="shared" si="2"/>
        <v>11.468599999999999</v>
      </c>
      <c r="H53">
        <f t="shared" si="5"/>
        <v>206.5</v>
      </c>
      <c r="J53">
        <f t="shared" si="3"/>
        <v>48</v>
      </c>
      <c r="K53">
        <f t="shared" si="1"/>
        <v>7524.8324898299234</v>
      </c>
    </row>
    <row r="54" spans="1:14" x14ac:dyDescent="0.2">
      <c r="A54" s="39">
        <v>5.9</v>
      </c>
      <c r="B54" s="44">
        <v>2700</v>
      </c>
      <c r="C54" s="39">
        <v>50.5</v>
      </c>
      <c r="D54">
        <v>2.6224999999999998E-3</v>
      </c>
      <c r="F54">
        <f t="shared" si="4"/>
        <v>48</v>
      </c>
      <c r="G54">
        <f t="shared" si="2"/>
        <v>7.0807499999999992</v>
      </c>
      <c r="H54">
        <f t="shared" si="5"/>
        <v>297.95000000000005</v>
      </c>
      <c r="J54">
        <f t="shared" si="3"/>
        <v>49</v>
      </c>
      <c r="K54">
        <f t="shared" si="1"/>
        <v>7761.2040303035456</v>
      </c>
    </row>
    <row r="55" spans="1:14" x14ac:dyDescent="0.2">
      <c r="A55" s="39">
        <v>5.9</v>
      </c>
      <c r="B55" s="44">
        <v>2700</v>
      </c>
      <c r="C55" s="39">
        <v>50.5</v>
      </c>
      <c r="D55">
        <v>3.1215499999999998E-3</v>
      </c>
      <c r="F55">
        <f t="shared" si="4"/>
        <v>49</v>
      </c>
      <c r="G55">
        <f t="shared" si="2"/>
        <v>8.4281849999999991</v>
      </c>
      <c r="H55">
        <f t="shared" si="5"/>
        <v>297.95000000000005</v>
      </c>
      <c r="J55">
        <f t="shared" si="3"/>
        <v>50</v>
      </c>
      <c r="K55">
        <f t="shared" si="1"/>
        <v>8000</v>
      </c>
    </row>
    <row r="56" spans="1:14" x14ac:dyDescent="0.2">
      <c r="A56" s="39">
        <v>5.9</v>
      </c>
      <c r="B56" s="44">
        <v>2710</v>
      </c>
      <c r="C56" s="39">
        <v>25</v>
      </c>
      <c r="D56">
        <v>5.4125000000000006E-4</v>
      </c>
      <c r="F56">
        <f t="shared" si="4"/>
        <v>50</v>
      </c>
      <c r="G56" s="47"/>
      <c r="H56" s="47"/>
      <c r="J56">
        <f t="shared" si="3"/>
        <v>51</v>
      </c>
      <c r="K56">
        <f t="shared" si="1"/>
        <v>8241.1960297034566</v>
      </c>
      <c r="L56" s="49" t="s">
        <v>1335</v>
      </c>
      <c r="M56" s="50" t="s">
        <v>1340</v>
      </c>
      <c r="N56" s="50" t="s">
        <v>502</v>
      </c>
    </row>
    <row r="57" spans="1:14" x14ac:dyDescent="0.2">
      <c r="A57" s="39">
        <v>5.9</v>
      </c>
      <c r="B57" s="44">
        <v>2720</v>
      </c>
      <c r="C57" s="39">
        <v>124.5</v>
      </c>
      <c r="D57">
        <v>3.5052750000000001E-2</v>
      </c>
      <c r="F57">
        <f t="shared" si="4"/>
        <v>51</v>
      </c>
      <c r="G57">
        <f t="shared" si="2"/>
        <v>95.34348</v>
      </c>
      <c r="H57">
        <f t="shared" ref="H57:H120" si="6">A57*C57</f>
        <v>734.55000000000007</v>
      </c>
      <c r="J57">
        <f t="shared" si="3"/>
        <v>52</v>
      </c>
      <c r="K57">
        <f t="shared" si="1"/>
        <v>8484.7684706183863</v>
      </c>
    </row>
    <row r="58" spans="1:14" x14ac:dyDescent="0.2">
      <c r="A58" s="39">
        <v>5.9</v>
      </c>
      <c r="B58" s="44">
        <v>2720</v>
      </c>
      <c r="C58" s="39">
        <v>240</v>
      </c>
      <c r="D58">
        <v>3.5052750000000001E-2</v>
      </c>
      <c r="F58">
        <f t="shared" si="4"/>
        <v>52</v>
      </c>
      <c r="G58">
        <f t="shared" si="2"/>
        <v>95.34348</v>
      </c>
      <c r="H58">
        <f t="shared" si="6"/>
        <v>1416</v>
      </c>
      <c r="J58">
        <f t="shared" si="3"/>
        <v>53</v>
      </c>
      <c r="K58">
        <f t="shared" si="1"/>
        <v>8730.6943595569719</v>
      </c>
    </row>
    <row r="59" spans="1:14" x14ac:dyDescent="0.2">
      <c r="A59" s="39">
        <v>5.9</v>
      </c>
      <c r="B59" s="44">
        <v>2720</v>
      </c>
      <c r="C59" s="39">
        <v>130.5</v>
      </c>
      <c r="D59">
        <v>1.8892249999999999E-2</v>
      </c>
      <c r="F59">
        <f t="shared" si="4"/>
        <v>53</v>
      </c>
      <c r="G59">
        <f t="shared" si="2"/>
        <v>51.386919999999996</v>
      </c>
      <c r="H59">
        <f t="shared" si="6"/>
        <v>769.95</v>
      </c>
      <c r="J59">
        <f t="shared" si="3"/>
        <v>54</v>
      </c>
      <c r="K59">
        <f t="shared" si="1"/>
        <v>8978.9513864370656</v>
      </c>
    </row>
    <row r="60" spans="1:14" x14ac:dyDescent="0.2">
      <c r="A60" s="39">
        <v>5.9</v>
      </c>
      <c r="B60" s="44">
        <v>2720</v>
      </c>
      <c r="C60" s="39">
        <v>130.5</v>
      </c>
      <c r="D60">
        <v>1.8892249999999999E-2</v>
      </c>
      <c r="F60">
        <f t="shared" si="4"/>
        <v>54</v>
      </c>
      <c r="G60">
        <f t="shared" si="2"/>
        <v>51.386919999999996</v>
      </c>
      <c r="H60">
        <f t="shared" si="6"/>
        <v>769.95</v>
      </c>
      <c r="J60">
        <f t="shared" si="3"/>
        <v>55</v>
      </c>
      <c r="K60">
        <f t="shared" si="1"/>
        <v>9229.5178638973284</v>
      </c>
    </row>
    <row r="61" spans="1:14" x14ac:dyDescent="0.2">
      <c r="A61" s="39">
        <v>5.9</v>
      </c>
      <c r="B61" s="44">
        <v>2720</v>
      </c>
      <c r="C61" s="39">
        <v>200</v>
      </c>
      <c r="D61">
        <v>1.8892249999999999E-2</v>
      </c>
      <c r="F61">
        <f t="shared" si="4"/>
        <v>55</v>
      </c>
      <c r="G61">
        <f t="shared" si="2"/>
        <v>51.386919999999996</v>
      </c>
      <c r="H61">
        <f t="shared" si="6"/>
        <v>1180</v>
      </c>
      <c r="J61">
        <f t="shared" si="3"/>
        <v>56</v>
      </c>
      <c r="K61">
        <f t="shared" si="1"/>
        <v>9482.3726988554936</v>
      </c>
    </row>
    <row r="62" spans="1:14" x14ac:dyDescent="0.2">
      <c r="A62" s="39">
        <v>5.9</v>
      </c>
      <c r="B62" s="44">
        <v>2800</v>
      </c>
      <c r="C62" s="39">
        <v>270</v>
      </c>
      <c r="D62">
        <v>4.5163999999999996E-2</v>
      </c>
      <c r="F62">
        <f t="shared" si="4"/>
        <v>56</v>
      </c>
      <c r="G62">
        <f t="shared" si="2"/>
        <v>126.45919999999998</v>
      </c>
      <c r="H62">
        <f t="shared" si="6"/>
        <v>1593</v>
      </c>
      <c r="J62">
        <f t="shared" si="3"/>
        <v>57</v>
      </c>
      <c r="K62">
        <f t="shared" si="1"/>
        <v>9737.4953658525574</v>
      </c>
    </row>
    <row r="63" spans="1:14" x14ac:dyDescent="0.2">
      <c r="A63" s="39">
        <v>5.9</v>
      </c>
      <c r="B63" s="44">
        <v>2800</v>
      </c>
      <c r="C63" s="39">
        <v>382</v>
      </c>
      <c r="D63">
        <v>4.5163999999999996E-2</v>
      </c>
      <c r="F63">
        <f t="shared" si="4"/>
        <v>57</v>
      </c>
      <c r="G63">
        <f t="shared" si="2"/>
        <v>126.45919999999998</v>
      </c>
      <c r="H63">
        <f t="shared" si="6"/>
        <v>2253.8000000000002</v>
      </c>
      <c r="J63">
        <f t="shared" si="3"/>
        <v>58</v>
      </c>
      <c r="K63">
        <f t="shared" si="1"/>
        <v>9994.8658820416349</v>
      </c>
    </row>
    <row r="64" spans="1:14" x14ac:dyDescent="0.2">
      <c r="A64" s="39">
        <v>5.9</v>
      </c>
      <c r="B64" s="44">
        <v>2795</v>
      </c>
      <c r="C64" s="39">
        <v>390</v>
      </c>
      <c r="D64">
        <v>4.5163999999999996E-2</v>
      </c>
      <c r="F64">
        <f t="shared" si="4"/>
        <v>58</v>
      </c>
      <c r="G64">
        <f t="shared" si="2"/>
        <v>126.23337999999998</v>
      </c>
      <c r="H64">
        <f t="shared" si="6"/>
        <v>2301</v>
      </c>
      <c r="J64">
        <f t="shared" si="3"/>
        <v>59</v>
      </c>
      <c r="K64">
        <f t="shared" si="1"/>
        <v>10254.464783693007</v>
      </c>
    </row>
    <row r="65" spans="1:11" x14ac:dyDescent="0.2">
      <c r="A65" s="39">
        <v>5.9</v>
      </c>
      <c r="B65" s="44">
        <v>2795</v>
      </c>
      <c r="C65" s="39">
        <v>379</v>
      </c>
      <c r="D65">
        <v>4.5163999999999996E-2</v>
      </c>
      <c r="F65">
        <f t="shared" si="4"/>
        <v>59</v>
      </c>
      <c r="G65">
        <f t="shared" si="2"/>
        <v>126.23337999999998</v>
      </c>
      <c r="H65">
        <f t="shared" si="6"/>
        <v>2236.1</v>
      </c>
      <c r="J65">
        <f t="shared" si="3"/>
        <v>60</v>
      </c>
      <c r="K65">
        <f t="shared" si="1"/>
        <v>10516.273104099195</v>
      </c>
    </row>
    <row r="66" spans="1:11" x14ac:dyDescent="0.2">
      <c r="A66" s="39">
        <v>5.9</v>
      </c>
      <c r="B66" s="44">
        <v>2795</v>
      </c>
      <c r="C66" s="39">
        <v>379</v>
      </c>
      <c r="D66">
        <v>4.5163999999999996E-2</v>
      </c>
      <c r="F66">
        <f t="shared" si="4"/>
        <v>60</v>
      </c>
      <c r="G66">
        <f t="shared" si="2"/>
        <v>126.23337999999998</v>
      </c>
      <c r="H66">
        <f t="shared" si="6"/>
        <v>2236.1</v>
      </c>
      <c r="J66">
        <f t="shared" si="3"/>
        <v>61</v>
      </c>
      <c r="K66">
        <f t="shared" si="1"/>
        <v>10780.272352774768</v>
      </c>
    </row>
    <row r="67" spans="1:11" x14ac:dyDescent="0.2">
      <c r="A67" s="39">
        <v>5.9</v>
      </c>
      <c r="B67" s="44">
        <v>2795</v>
      </c>
      <c r="C67" s="39">
        <v>379</v>
      </c>
      <c r="D67">
        <v>4.5163999999999996E-2</v>
      </c>
      <c r="F67">
        <f t="shared" si="4"/>
        <v>61</v>
      </c>
      <c r="G67">
        <f t="shared" si="2"/>
        <v>126.23337999999998</v>
      </c>
      <c r="H67">
        <f t="shared" si="6"/>
        <v>2236.1</v>
      </c>
      <c r="J67">
        <f t="shared" si="3"/>
        <v>62</v>
      </c>
      <c r="K67">
        <f t="shared" si="1"/>
        <v>11046.444495854774</v>
      </c>
    </row>
    <row r="68" spans="1:11" x14ac:dyDescent="0.2">
      <c r="A68" s="39">
        <v>5.9</v>
      </c>
      <c r="B68" s="44">
        <v>2795</v>
      </c>
      <c r="C68" s="39">
        <v>369</v>
      </c>
      <c r="D68">
        <v>4.5163999999999996E-2</v>
      </c>
      <c r="F68">
        <f t="shared" si="4"/>
        <v>62</v>
      </c>
      <c r="G68">
        <f t="shared" si="2"/>
        <v>126.23337999999998</v>
      </c>
      <c r="H68">
        <f t="shared" si="6"/>
        <v>2177.1</v>
      </c>
      <c r="J68">
        <f t="shared" si="3"/>
        <v>63</v>
      </c>
      <c r="K68">
        <f t="shared" si="1"/>
        <v>11314.771937604406</v>
      </c>
    </row>
    <row r="69" spans="1:11" x14ac:dyDescent="0.2">
      <c r="A69" s="39">
        <v>5.9</v>
      </c>
      <c r="B69" s="44">
        <v>2795</v>
      </c>
      <c r="C69" s="39">
        <v>232.5</v>
      </c>
      <c r="D69">
        <v>3.9533500000000006E-2</v>
      </c>
      <c r="F69">
        <f t="shared" si="4"/>
        <v>63</v>
      </c>
      <c r="G69">
        <f t="shared" si="2"/>
        <v>110.49613250000002</v>
      </c>
      <c r="H69">
        <f t="shared" si="6"/>
        <v>1371.75</v>
      </c>
      <c r="J69">
        <f t="shared" si="3"/>
        <v>64</v>
      </c>
      <c r="K69">
        <f t="shared" si="1"/>
        <v>11585.237502960397</v>
      </c>
    </row>
    <row r="70" spans="1:11" x14ac:dyDescent="0.2">
      <c r="A70" s="39">
        <v>5.9</v>
      </c>
      <c r="B70" s="44">
        <v>2795</v>
      </c>
      <c r="C70" s="39">
        <v>232.5</v>
      </c>
      <c r="D70">
        <v>3.9533500000000006E-2</v>
      </c>
      <c r="F70">
        <f t="shared" si="4"/>
        <v>64</v>
      </c>
      <c r="G70">
        <f t="shared" si="2"/>
        <v>110.49613250000002</v>
      </c>
      <c r="H70">
        <f t="shared" si="6"/>
        <v>1371.75</v>
      </c>
      <c r="J70">
        <f t="shared" si="3"/>
        <v>65</v>
      </c>
      <c r="K70">
        <f t="shared" si="1"/>
        <v>11857.824421031029</v>
      </c>
    </row>
    <row r="71" spans="1:11" x14ac:dyDescent="0.2">
      <c r="A71" s="39">
        <v>5.9</v>
      </c>
      <c r="B71" s="44">
        <v>2795</v>
      </c>
      <c r="C71" s="39">
        <v>232.5</v>
      </c>
      <c r="D71">
        <v>3.9533500000000006E-2</v>
      </c>
      <c r="F71">
        <f t="shared" si="4"/>
        <v>65</v>
      </c>
      <c r="G71">
        <f t="shared" si="2"/>
        <v>110.49613250000002</v>
      </c>
      <c r="H71">
        <f t="shared" si="6"/>
        <v>1371.75</v>
      </c>
      <c r="J71">
        <f t="shared" si="3"/>
        <v>66</v>
      </c>
      <c r="K71">
        <f t="shared" ref="K71:K134" si="7">(8*J71)^(3/2)</f>
        <v>12132.516309488316</v>
      </c>
    </row>
    <row r="72" spans="1:11" x14ac:dyDescent="0.2">
      <c r="A72" s="39">
        <v>5.9</v>
      </c>
      <c r="B72" s="44">
        <v>2770</v>
      </c>
      <c r="C72" s="39">
        <v>75</v>
      </c>
      <c r="D72">
        <v>6.9333999999999993E-2</v>
      </c>
      <c r="F72">
        <f t="shared" si="4"/>
        <v>66</v>
      </c>
      <c r="G72">
        <f t="shared" ref="G72:G135" si="8">B72*D72</f>
        <v>192.05517999999998</v>
      </c>
      <c r="H72">
        <f t="shared" si="6"/>
        <v>442.5</v>
      </c>
      <c r="J72">
        <f t="shared" ref="J72:J135" si="9">J71+1</f>
        <v>67</v>
      </c>
      <c r="K72">
        <f t="shared" si="7"/>
        <v>12409.297159791115</v>
      </c>
    </row>
    <row r="73" spans="1:11" x14ac:dyDescent="0.2">
      <c r="A73" s="39">
        <v>5.9</v>
      </c>
      <c r="B73" s="44">
        <v>2765</v>
      </c>
      <c r="C73" s="39">
        <v>310</v>
      </c>
      <c r="D73">
        <v>6.9333999999999993E-2</v>
      </c>
      <c r="F73">
        <f t="shared" ref="F73:F89" si="10">F72+1</f>
        <v>67</v>
      </c>
      <c r="G73">
        <f t="shared" si="8"/>
        <v>191.70850999999999</v>
      </c>
      <c r="H73">
        <f t="shared" si="6"/>
        <v>1829</v>
      </c>
      <c r="J73">
        <f t="shared" si="9"/>
        <v>68</v>
      </c>
      <c r="K73">
        <f t="shared" si="7"/>
        <v>12688.151323183378</v>
      </c>
    </row>
    <row r="74" spans="1:11" x14ac:dyDescent="0.2">
      <c r="A74" s="39">
        <v>5.9</v>
      </c>
      <c r="B74" s="44">
        <v>2770</v>
      </c>
      <c r="C74" s="39">
        <v>296.5</v>
      </c>
      <c r="D74">
        <v>6.9333999999999993E-2</v>
      </c>
      <c r="F74">
        <f t="shared" si="10"/>
        <v>68</v>
      </c>
      <c r="G74">
        <f t="shared" si="8"/>
        <v>192.05517999999998</v>
      </c>
      <c r="H74">
        <f t="shared" si="6"/>
        <v>1749.3500000000001</v>
      </c>
      <c r="J74">
        <f t="shared" si="9"/>
        <v>69</v>
      </c>
      <c r="K74">
        <f t="shared" si="7"/>
        <v>12969.06349741568</v>
      </c>
    </row>
    <row r="75" spans="1:11" x14ac:dyDescent="0.2">
      <c r="A75" s="39">
        <v>5.9</v>
      </c>
      <c r="B75" s="44">
        <v>2770</v>
      </c>
      <c r="C75" s="39">
        <v>310</v>
      </c>
      <c r="D75">
        <v>6.9333999999999993E-2</v>
      </c>
      <c r="F75">
        <f t="shared" si="10"/>
        <v>69</v>
      </c>
      <c r="G75">
        <f t="shared" si="8"/>
        <v>192.05517999999998</v>
      </c>
      <c r="H75">
        <f t="shared" si="6"/>
        <v>1829</v>
      </c>
      <c r="J75">
        <f t="shared" si="9"/>
        <v>70</v>
      </c>
      <c r="K75">
        <f t="shared" si="7"/>
        <v>13252.018714143147</v>
      </c>
    </row>
    <row r="76" spans="1:11" x14ac:dyDescent="0.2">
      <c r="A76" s="39">
        <v>5.9</v>
      </c>
      <c r="B76" s="44">
        <v>2765</v>
      </c>
      <c r="C76" s="39">
        <v>378</v>
      </c>
      <c r="D76">
        <v>6.9333999999999993E-2</v>
      </c>
      <c r="F76">
        <f t="shared" si="10"/>
        <v>70</v>
      </c>
      <c r="G76">
        <f t="shared" si="8"/>
        <v>191.70850999999999</v>
      </c>
      <c r="H76">
        <f t="shared" si="6"/>
        <v>2230.2000000000003</v>
      </c>
      <c r="J76">
        <f t="shared" si="9"/>
        <v>71</v>
      </c>
      <c r="K76">
        <f t="shared" si="7"/>
        <v>13537.002326955551</v>
      </c>
    </row>
    <row r="77" spans="1:11" x14ac:dyDescent="0.2">
      <c r="A77" s="39">
        <v>5.9</v>
      </c>
      <c r="B77" s="44">
        <v>2765</v>
      </c>
      <c r="C77" s="39">
        <v>355</v>
      </c>
      <c r="D77">
        <v>6.9333999999999993E-2</v>
      </c>
      <c r="F77">
        <f t="shared" si="10"/>
        <v>71</v>
      </c>
      <c r="G77">
        <f t="shared" si="8"/>
        <v>191.70850999999999</v>
      </c>
      <c r="H77">
        <f t="shared" si="6"/>
        <v>2094.5</v>
      </c>
      <c r="J77">
        <f t="shared" si="9"/>
        <v>72</v>
      </c>
      <c r="K77">
        <f t="shared" si="7"/>
        <v>13824.000000000011</v>
      </c>
    </row>
    <row r="78" spans="1:11" x14ac:dyDescent="0.2">
      <c r="A78" s="39">
        <v>5.9</v>
      </c>
      <c r="B78" s="44">
        <v>2770</v>
      </c>
      <c r="C78" s="39">
        <v>289</v>
      </c>
      <c r="D78">
        <v>6.9333999999999993E-2</v>
      </c>
      <c r="F78">
        <f t="shared" si="10"/>
        <v>72</v>
      </c>
      <c r="G78">
        <f t="shared" si="8"/>
        <v>192.05517999999998</v>
      </c>
      <c r="H78">
        <f t="shared" si="6"/>
        <v>1705.1000000000001</v>
      </c>
      <c r="J78">
        <f t="shared" si="9"/>
        <v>73</v>
      </c>
      <c r="K78">
        <f t="shared" si="7"/>
        <v>14112.997697158462</v>
      </c>
    </row>
    <row r="79" spans="1:11" x14ac:dyDescent="0.2">
      <c r="A79" s="39">
        <v>5.9</v>
      </c>
      <c r="B79" s="44">
        <v>2765</v>
      </c>
      <c r="C79" s="39">
        <v>231</v>
      </c>
      <c r="D79">
        <v>6.9333999999999993E-2</v>
      </c>
      <c r="F79">
        <f t="shared" si="10"/>
        <v>73</v>
      </c>
      <c r="G79">
        <f t="shared" si="8"/>
        <v>191.70850999999999</v>
      </c>
      <c r="H79">
        <f t="shared" si="6"/>
        <v>1362.9</v>
      </c>
      <c r="J79">
        <f t="shared" si="9"/>
        <v>74</v>
      </c>
      <c r="K79">
        <f t="shared" si="7"/>
        <v>14403.981671746167</v>
      </c>
    </row>
    <row r="80" spans="1:11" x14ac:dyDescent="0.2">
      <c r="A80" s="39">
        <v>5.9</v>
      </c>
      <c r="B80" s="44">
        <v>2765</v>
      </c>
      <c r="C80" s="39">
        <v>363</v>
      </c>
      <c r="D80">
        <v>6.9333999999999993E-2</v>
      </c>
      <c r="F80">
        <f t="shared" si="10"/>
        <v>74</v>
      </c>
      <c r="G80">
        <f t="shared" si="8"/>
        <v>191.70850999999999</v>
      </c>
      <c r="H80">
        <f t="shared" si="6"/>
        <v>2141.7000000000003</v>
      </c>
      <c r="J80">
        <f t="shared" si="9"/>
        <v>75</v>
      </c>
      <c r="K80">
        <f t="shared" si="7"/>
        <v>14696.938456699054</v>
      </c>
    </row>
    <row r="81" spans="1:13" s="61" customFormat="1" x14ac:dyDescent="0.2">
      <c r="A81" s="59">
        <v>5.9</v>
      </c>
      <c r="B81" s="60">
        <v>2765</v>
      </c>
      <c r="C81" s="59">
        <v>333.5</v>
      </c>
      <c r="D81" s="61">
        <v>6.9333999999999993E-2</v>
      </c>
      <c r="F81" s="61">
        <f t="shared" si="10"/>
        <v>75</v>
      </c>
      <c r="G81" s="61">
        <f>B81*D81</f>
        <v>191.70850999999999</v>
      </c>
      <c r="H81" s="61">
        <f>A81*C81</f>
        <v>1967.65</v>
      </c>
      <c r="J81" s="61">
        <f t="shared" si="9"/>
        <v>76</v>
      </c>
      <c r="K81" s="61">
        <f t="shared" si="7"/>
        <v>14991.854855220556</v>
      </c>
      <c r="M81" s="61">
        <f>H81^(2/3)/G81</f>
        <v>0.81907532249384229</v>
      </c>
    </row>
    <row r="82" spans="1:13" x14ac:dyDescent="0.2">
      <c r="A82" s="39">
        <v>5.9</v>
      </c>
      <c r="B82" s="44">
        <v>2765</v>
      </c>
      <c r="C82" s="39">
        <v>324</v>
      </c>
      <c r="D82">
        <v>6.9333999999999993E-2</v>
      </c>
      <c r="F82">
        <f t="shared" si="10"/>
        <v>76</v>
      </c>
      <c r="G82">
        <f t="shared" si="8"/>
        <v>191.70850999999999</v>
      </c>
      <c r="H82">
        <f t="shared" si="6"/>
        <v>1911.6000000000001</v>
      </c>
      <c r="J82">
        <f t="shared" si="9"/>
        <v>77</v>
      </c>
      <c r="K82">
        <f t="shared" si="7"/>
        <v>15288.717931860734</v>
      </c>
    </row>
    <row r="83" spans="1:13" x14ac:dyDescent="0.2">
      <c r="A83" s="39">
        <v>5.9</v>
      </c>
      <c r="B83" s="44">
        <v>2765</v>
      </c>
      <c r="C83" s="39">
        <v>396.5</v>
      </c>
      <c r="D83">
        <v>6.9333999999999993E-2</v>
      </c>
      <c r="F83">
        <f t="shared" si="10"/>
        <v>77</v>
      </c>
      <c r="G83">
        <f t="shared" si="8"/>
        <v>191.70850999999999</v>
      </c>
      <c r="H83">
        <f t="shared" si="6"/>
        <v>2339.3500000000004</v>
      </c>
      <c r="J83">
        <f t="shared" si="9"/>
        <v>78</v>
      </c>
      <c r="K83">
        <f t="shared" si="7"/>
        <v>15587.5150040024</v>
      </c>
    </row>
    <row r="84" spans="1:13" x14ac:dyDescent="0.2">
      <c r="A84" s="39">
        <v>5.9</v>
      </c>
      <c r="B84" s="44">
        <v>2765</v>
      </c>
      <c r="C84" s="39">
        <v>406.5</v>
      </c>
      <c r="D84">
        <v>6.9333999999999993E-2</v>
      </c>
      <c r="F84">
        <f t="shared" si="10"/>
        <v>78</v>
      </c>
      <c r="G84">
        <f t="shared" si="8"/>
        <v>191.70850999999999</v>
      </c>
      <c r="H84">
        <f t="shared" si="6"/>
        <v>2398.3500000000004</v>
      </c>
      <c r="J84">
        <f t="shared" si="9"/>
        <v>79</v>
      </c>
      <c r="K84">
        <f t="shared" si="7"/>
        <v>15888.233633730353</v>
      </c>
    </row>
    <row r="85" spans="1:13" x14ac:dyDescent="0.2">
      <c r="A85" s="39">
        <v>5.9</v>
      </c>
      <c r="B85" s="44">
        <v>2795</v>
      </c>
      <c r="C85" s="39">
        <v>232.5</v>
      </c>
      <c r="D85">
        <v>2.5774499999999999E-2</v>
      </c>
      <c r="F85">
        <f t="shared" si="10"/>
        <v>79</v>
      </c>
      <c r="G85">
        <f t="shared" si="8"/>
        <v>72.039727499999998</v>
      </c>
      <c r="H85">
        <f t="shared" si="6"/>
        <v>1371.75</v>
      </c>
      <c r="J85">
        <f t="shared" si="9"/>
        <v>80</v>
      </c>
      <c r="K85">
        <f t="shared" si="7"/>
        <v>16190.861620062084</v>
      </c>
    </row>
    <row r="86" spans="1:13" x14ac:dyDescent="0.2">
      <c r="A86" s="39">
        <v>5.9</v>
      </c>
      <c r="B86" s="44">
        <v>2770</v>
      </c>
      <c r="C86" s="39">
        <v>344.5</v>
      </c>
      <c r="D86">
        <v>5.3759750000000002E-2</v>
      </c>
      <c r="F86">
        <f t="shared" si="10"/>
        <v>80</v>
      </c>
      <c r="G86">
        <f t="shared" si="8"/>
        <v>148.91450750000001</v>
      </c>
      <c r="H86">
        <f t="shared" si="6"/>
        <v>2032.5500000000002</v>
      </c>
      <c r="J86">
        <f t="shared" si="9"/>
        <v>81</v>
      </c>
      <c r="K86">
        <f t="shared" si="7"/>
        <v>16495.386991519776</v>
      </c>
    </row>
    <row r="87" spans="1:13" x14ac:dyDescent="0.2">
      <c r="A87" s="39">
        <v>5.9</v>
      </c>
      <c r="B87" s="44">
        <v>2750</v>
      </c>
      <c r="C87" s="39">
        <v>56</v>
      </c>
      <c r="D87">
        <v>2.6472999999999997E-2</v>
      </c>
      <c r="F87">
        <f t="shared" si="10"/>
        <v>81</v>
      </c>
      <c r="G87">
        <f t="shared" si="8"/>
        <v>72.800749999999994</v>
      </c>
      <c r="H87">
        <f t="shared" si="6"/>
        <v>330.40000000000003</v>
      </c>
      <c r="J87">
        <f t="shared" si="9"/>
        <v>82</v>
      </c>
      <c r="K87">
        <f t="shared" si="7"/>
        <v>16801.797999023769</v>
      </c>
    </row>
    <row r="88" spans="1:13" x14ac:dyDescent="0.2">
      <c r="A88" s="39">
        <v>5.9</v>
      </c>
      <c r="B88" s="44">
        <v>2750</v>
      </c>
      <c r="C88" s="39">
        <v>194.5</v>
      </c>
      <c r="D88">
        <v>2.6472999999999997E-2</v>
      </c>
      <c r="F88">
        <f t="shared" si="10"/>
        <v>82</v>
      </c>
      <c r="G88">
        <f t="shared" si="8"/>
        <v>72.800749999999994</v>
      </c>
      <c r="H88">
        <f t="shared" si="6"/>
        <v>1147.5500000000002</v>
      </c>
      <c r="J88">
        <f t="shared" si="9"/>
        <v>83</v>
      </c>
      <c r="K88">
        <f t="shared" si="7"/>
        <v>17110.083109090952</v>
      </c>
    </row>
    <row r="89" spans="1:13" s="47" customFormat="1" x14ac:dyDescent="0.2">
      <c r="A89" s="53">
        <v>5.9</v>
      </c>
      <c r="B89" s="54">
        <v>2600</v>
      </c>
      <c r="C89" s="53">
        <v>434.5</v>
      </c>
      <c r="D89" s="47">
        <v>7.0732499999999997E-3</v>
      </c>
      <c r="F89">
        <f t="shared" si="10"/>
        <v>83</v>
      </c>
      <c r="G89" s="47">
        <f t="shared" si="8"/>
        <v>18.390449999999998</v>
      </c>
      <c r="H89" s="47">
        <f t="shared" si="6"/>
        <v>2563.5500000000002</v>
      </c>
      <c r="J89" s="47">
        <f t="shared" si="9"/>
        <v>84</v>
      </c>
      <c r="K89">
        <f t="shared" si="7"/>
        <v>17420.230997320312</v>
      </c>
    </row>
    <row r="90" spans="1:13" x14ac:dyDescent="0.2">
      <c r="A90" s="39">
        <v>5.9</v>
      </c>
      <c r="B90" s="44">
        <v>2765</v>
      </c>
      <c r="C90" s="39">
        <v>386.5</v>
      </c>
      <c r="D90">
        <v>6.5171499999999993E-2</v>
      </c>
      <c r="G90">
        <f t="shared" si="8"/>
        <v>180.19919749999997</v>
      </c>
      <c r="H90">
        <f t="shared" si="6"/>
        <v>2280.3500000000004</v>
      </c>
      <c r="J90">
        <f t="shared" si="9"/>
        <v>85</v>
      </c>
      <c r="K90">
        <f t="shared" si="7"/>
        <v>17732.230542151185</v>
      </c>
    </row>
    <row r="91" spans="1:13" x14ac:dyDescent="0.2">
      <c r="A91" s="39">
        <v>5.9</v>
      </c>
      <c r="B91" s="44">
        <v>2855</v>
      </c>
      <c r="C91" s="39">
        <v>261</v>
      </c>
      <c r="D91">
        <v>5.3482000000000009E-3</v>
      </c>
      <c r="G91">
        <f t="shared" si="8"/>
        <v>15.269111000000002</v>
      </c>
      <c r="H91">
        <f t="shared" si="6"/>
        <v>1539.9</v>
      </c>
      <c r="J91">
        <f t="shared" si="9"/>
        <v>86</v>
      </c>
      <c r="K91">
        <f t="shared" si="7"/>
        <v>18046.070818879103</v>
      </c>
    </row>
    <row r="92" spans="1:13" x14ac:dyDescent="0.2">
      <c r="A92" s="39">
        <v>5.9</v>
      </c>
      <c r="B92" s="44">
        <v>2855</v>
      </c>
      <c r="C92" s="39">
        <v>333.5</v>
      </c>
      <c r="D92">
        <v>5.3482000000000009E-3</v>
      </c>
      <c r="G92">
        <f t="shared" si="8"/>
        <v>15.269111000000002</v>
      </c>
      <c r="H92">
        <f t="shared" si="6"/>
        <v>1967.65</v>
      </c>
      <c r="J92">
        <f t="shared" si="9"/>
        <v>87</v>
      </c>
      <c r="K92">
        <f t="shared" si="7"/>
        <v>18361.741093915909</v>
      </c>
    </row>
    <row r="93" spans="1:13" x14ac:dyDescent="0.2">
      <c r="A93" s="39">
        <v>5.9</v>
      </c>
      <c r="B93" s="44">
        <v>2855</v>
      </c>
      <c r="C93" s="39">
        <v>310.5</v>
      </c>
      <c r="D93">
        <v>5.3482000000000009E-3</v>
      </c>
      <c r="G93">
        <f t="shared" si="8"/>
        <v>15.269111000000002</v>
      </c>
      <c r="H93">
        <f t="shared" si="6"/>
        <v>1831.95</v>
      </c>
      <c r="J93">
        <f t="shared" si="9"/>
        <v>88</v>
      </c>
      <c r="K93">
        <f t="shared" si="7"/>
        <v>18679.230819281613</v>
      </c>
    </row>
    <row r="94" spans="1:13" x14ac:dyDescent="0.2">
      <c r="A94" s="39">
        <v>5.9</v>
      </c>
      <c r="B94" s="44">
        <v>2855</v>
      </c>
      <c r="C94" s="39">
        <v>283</v>
      </c>
      <c r="D94">
        <v>5.3482000000000009E-3</v>
      </c>
      <c r="G94">
        <f t="shared" si="8"/>
        <v>15.269111000000002</v>
      </c>
      <c r="H94">
        <f t="shared" si="6"/>
        <v>1669.7</v>
      </c>
      <c r="J94">
        <f t="shared" si="9"/>
        <v>89</v>
      </c>
      <c r="K94">
        <f t="shared" si="7"/>
        <v>18998.5296273159</v>
      </c>
    </row>
    <row r="95" spans="1:13" x14ac:dyDescent="0.2">
      <c r="A95" s="39">
        <v>5.9</v>
      </c>
      <c r="B95" s="44">
        <v>2855</v>
      </c>
      <c r="C95" s="39">
        <v>300</v>
      </c>
      <c r="D95">
        <v>5.3482000000000009E-3</v>
      </c>
      <c r="G95">
        <f t="shared" si="8"/>
        <v>15.269111000000002</v>
      </c>
      <c r="H95">
        <f t="shared" si="6"/>
        <v>1770</v>
      </c>
      <c r="J95">
        <f t="shared" si="9"/>
        <v>90</v>
      </c>
      <c r="K95">
        <f t="shared" si="7"/>
        <v>19319.627325598205</v>
      </c>
    </row>
    <row r="96" spans="1:13" x14ac:dyDescent="0.2">
      <c r="A96" s="39">
        <v>5.9</v>
      </c>
      <c r="B96" s="44">
        <v>2855</v>
      </c>
      <c r="C96" s="39">
        <v>348.5</v>
      </c>
      <c r="D96">
        <v>5.3482000000000009E-3</v>
      </c>
      <c r="G96">
        <f t="shared" si="8"/>
        <v>15.269111000000002</v>
      </c>
      <c r="H96">
        <f t="shared" si="6"/>
        <v>2056.15</v>
      </c>
      <c r="J96">
        <f t="shared" si="9"/>
        <v>91</v>
      </c>
      <c r="K96">
        <f t="shared" si="7"/>
        <v>19642.51389206585</v>
      </c>
    </row>
    <row r="97" spans="1:11" x14ac:dyDescent="0.2">
      <c r="A97" s="39">
        <v>5.9</v>
      </c>
      <c r="B97" s="44">
        <v>2770</v>
      </c>
      <c r="C97" s="39">
        <v>362.5</v>
      </c>
      <c r="D97">
        <v>6.4061499999999993E-2</v>
      </c>
      <c r="G97">
        <f t="shared" si="8"/>
        <v>177.45035499999997</v>
      </c>
      <c r="H97">
        <f t="shared" si="6"/>
        <v>2138.75</v>
      </c>
      <c r="J97">
        <f t="shared" si="9"/>
        <v>92</v>
      </c>
      <c r="K97">
        <f t="shared" si="7"/>
        <v>19967.179470320785</v>
      </c>
    </row>
    <row r="98" spans="1:11" x14ac:dyDescent="0.2">
      <c r="A98" s="39">
        <v>5.9</v>
      </c>
      <c r="B98" s="44">
        <v>2650</v>
      </c>
      <c r="C98" s="39">
        <v>389</v>
      </c>
      <c r="D98">
        <v>6.4899999999999992E-3</v>
      </c>
      <c r="G98">
        <f t="shared" si="8"/>
        <v>17.198499999999999</v>
      </c>
      <c r="H98">
        <f t="shared" si="6"/>
        <v>2295.1000000000004</v>
      </c>
      <c r="J98">
        <f t="shared" si="9"/>
        <v>93</v>
      </c>
      <c r="K98">
        <f t="shared" si="7"/>
        <v>20293.614365114954</v>
      </c>
    </row>
    <row r="99" spans="1:11" x14ac:dyDescent="0.2">
      <c r="A99" s="39">
        <v>5.9</v>
      </c>
      <c r="B99" s="44">
        <v>2790</v>
      </c>
      <c r="C99" s="39">
        <v>301</v>
      </c>
      <c r="D99">
        <v>5.8535499999999997E-2</v>
      </c>
      <c r="G99">
        <f t="shared" si="8"/>
        <v>163.31404499999999</v>
      </c>
      <c r="H99">
        <f t="shared" si="6"/>
        <v>1775.9</v>
      </c>
      <c r="J99">
        <f t="shared" si="9"/>
        <v>94</v>
      </c>
      <c r="K99">
        <f t="shared" si="7"/>
        <v>20621.809038006337</v>
      </c>
    </row>
    <row r="100" spans="1:11" x14ac:dyDescent="0.2">
      <c r="A100" s="39">
        <v>5.9</v>
      </c>
      <c r="B100" s="44">
        <v>2825</v>
      </c>
      <c r="C100" s="39">
        <v>400</v>
      </c>
      <c r="D100">
        <v>1.481825E-2</v>
      </c>
      <c r="G100">
        <f t="shared" si="8"/>
        <v>41.86155625</v>
      </c>
      <c r="H100">
        <f t="shared" si="6"/>
        <v>2360</v>
      </c>
      <c r="J100">
        <f t="shared" si="9"/>
        <v>95</v>
      </c>
      <c r="K100">
        <f t="shared" si="7"/>
        <v>20951.754103177154</v>
      </c>
    </row>
    <row r="101" spans="1:11" x14ac:dyDescent="0.2">
      <c r="A101" s="39">
        <v>5.9</v>
      </c>
      <c r="B101" s="44">
        <v>2765</v>
      </c>
      <c r="C101" s="39">
        <v>296.5</v>
      </c>
      <c r="D101">
        <v>5.8563749999999998E-2</v>
      </c>
      <c r="G101">
        <f t="shared" si="8"/>
        <v>161.92876874999999</v>
      </c>
      <c r="H101">
        <f t="shared" si="6"/>
        <v>1749.3500000000001</v>
      </c>
      <c r="J101">
        <f t="shared" si="9"/>
        <v>96</v>
      </c>
      <c r="K101">
        <f t="shared" si="7"/>
        <v>21283.440323406387</v>
      </c>
    </row>
    <row r="102" spans="1:11" x14ac:dyDescent="0.2">
      <c r="A102" s="39">
        <v>5.9</v>
      </c>
      <c r="B102" s="44">
        <v>2750</v>
      </c>
      <c r="C102" s="39">
        <v>280</v>
      </c>
      <c r="D102">
        <v>6.812725E-2</v>
      </c>
      <c r="G102">
        <f t="shared" si="8"/>
        <v>187.34993750000001</v>
      </c>
      <c r="H102">
        <f t="shared" si="6"/>
        <v>1652</v>
      </c>
      <c r="J102">
        <f t="shared" si="9"/>
        <v>97</v>
      </c>
      <c r="K102">
        <f t="shared" si="7"/>
        <v>21616.85860618978</v>
      </c>
    </row>
    <row r="103" spans="1:11" x14ac:dyDescent="0.2">
      <c r="A103" s="39">
        <v>5.9</v>
      </c>
      <c r="B103" s="44">
        <v>2750</v>
      </c>
      <c r="C103" s="39">
        <v>350</v>
      </c>
      <c r="D103">
        <v>6.812725E-2</v>
      </c>
      <c r="G103">
        <f t="shared" si="8"/>
        <v>187.34993750000001</v>
      </c>
      <c r="H103">
        <f t="shared" si="6"/>
        <v>2065</v>
      </c>
      <c r="J103">
        <f t="shared" si="9"/>
        <v>98</v>
      </c>
      <c r="K103">
        <f t="shared" si="7"/>
        <v>21951.999999999982</v>
      </c>
    </row>
    <row r="104" spans="1:11" x14ac:dyDescent="0.2">
      <c r="A104" s="39">
        <v>5.9</v>
      </c>
      <c r="B104" s="44">
        <v>2750</v>
      </c>
      <c r="C104" s="39">
        <v>350</v>
      </c>
      <c r="D104">
        <v>6.812725E-2</v>
      </c>
      <c r="G104">
        <f t="shared" si="8"/>
        <v>187.34993750000001</v>
      </c>
      <c r="H104">
        <f t="shared" si="6"/>
        <v>2065</v>
      </c>
      <c r="J104">
        <f t="shared" si="9"/>
        <v>99</v>
      </c>
      <c r="K104">
        <f t="shared" si="7"/>
        <v>22288.85569068095</v>
      </c>
    </row>
    <row r="105" spans="1:11" x14ac:dyDescent="0.2">
      <c r="A105" s="39">
        <v>5.9</v>
      </c>
      <c r="B105" s="44">
        <v>2710</v>
      </c>
      <c r="C105" s="39">
        <v>58.6</v>
      </c>
      <c r="D105">
        <v>4.7023500000000003E-2</v>
      </c>
      <c r="G105">
        <f t="shared" si="8"/>
        <v>127.43368500000001</v>
      </c>
      <c r="H105">
        <f t="shared" si="6"/>
        <v>345.74</v>
      </c>
      <c r="J105">
        <f t="shared" si="9"/>
        <v>100</v>
      </c>
      <c r="K105">
        <f t="shared" si="7"/>
        <v>22627.416997969503</v>
      </c>
    </row>
    <row r="106" spans="1:11" x14ac:dyDescent="0.2">
      <c r="A106" s="39">
        <v>5.9</v>
      </c>
      <c r="B106" s="44">
        <v>2720</v>
      </c>
      <c r="C106" s="39">
        <v>256</v>
      </c>
      <c r="D106">
        <v>4.7023500000000003E-2</v>
      </c>
      <c r="G106">
        <f t="shared" si="8"/>
        <v>127.90392000000001</v>
      </c>
      <c r="H106">
        <f t="shared" si="6"/>
        <v>1510.4</v>
      </c>
      <c r="J106">
        <f t="shared" si="9"/>
        <v>101</v>
      </c>
      <c r="K106">
        <f t="shared" si="7"/>
        <v>22967.675372139871</v>
      </c>
    </row>
    <row r="107" spans="1:11" x14ac:dyDescent="0.2">
      <c r="A107" s="39">
        <v>5.9</v>
      </c>
      <c r="B107" s="44">
        <v>2710</v>
      </c>
      <c r="C107" s="39">
        <v>157.5</v>
      </c>
      <c r="D107">
        <v>4.7023500000000003E-2</v>
      </c>
      <c r="G107">
        <f t="shared" si="8"/>
        <v>127.43368500000001</v>
      </c>
      <c r="H107">
        <f t="shared" si="6"/>
        <v>929.25</v>
      </c>
      <c r="J107">
        <f t="shared" si="9"/>
        <v>102</v>
      </c>
      <c r="K107">
        <f t="shared" si="7"/>
        <v>23309.622390763849</v>
      </c>
    </row>
    <row r="108" spans="1:11" x14ac:dyDescent="0.2">
      <c r="A108" s="39">
        <v>5.9</v>
      </c>
      <c r="B108" s="44">
        <v>2720</v>
      </c>
      <c r="C108" s="39">
        <v>186</v>
      </c>
      <c r="D108">
        <v>4.7023500000000003E-2</v>
      </c>
      <c r="G108">
        <f t="shared" si="8"/>
        <v>127.90392000000001</v>
      </c>
      <c r="H108">
        <f t="shared" si="6"/>
        <v>1097.4000000000001</v>
      </c>
      <c r="J108">
        <f t="shared" si="9"/>
        <v>103</v>
      </c>
      <c r="K108">
        <f t="shared" si="7"/>
        <v>23653.24975558326</v>
      </c>
    </row>
    <row r="109" spans="1:11" x14ac:dyDescent="0.2">
      <c r="A109" s="39">
        <v>5.9</v>
      </c>
      <c r="B109" s="44">
        <v>2720</v>
      </c>
      <c r="C109" s="39">
        <v>230.5</v>
      </c>
      <c r="D109">
        <v>4.7023500000000003E-2</v>
      </c>
      <c r="G109">
        <f t="shared" si="8"/>
        <v>127.90392000000001</v>
      </c>
      <c r="H109">
        <f t="shared" si="6"/>
        <v>1359.95</v>
      </c>
      <c r="J109">
        <f t="shared" si="9"/>
        <v>104</v>
      </c>
      <c r="K109">
        <f t="shared" si="7"/>
        <v>23998.549289488317</v>
      </c>
    </row>
    <row r="110" spans="1:11" x14ac:dyDescent="0.2">
      <c r="A110" s="39">
        <v>5.9</v>
      </c>
      <c r="B110" s="44">
        <v>2710</v>
      </c>
      <c r="C110" s="39">
        <v>250.5</v>
      </c>
      <c r="D110">
        <v>4.7023500000000003E-2</v>
      </c>
      <c r="G110">
        <f t="shared" si="8"/>
        <v>127.43368500000001</v>
      </c>
      <c r="H110">
        <f t="shared" si="6"/>
        <v>1477.95</v>
      </c>
      <c r="J110">
        <f t="shared" si="9"/>
        <v>105</v>
      </c>
      <c r="K110">
        <f t="shared" si="7"/>
        <v>24345.512933598246</v>
      </c>
    </row>
    <row r="111" spans="1:11" x14ac:dyDescent="0.2">
      <c r="A111" s="39">
        <v>5.9</v>
      </c>
      <c r="B111" s="44">
        <v>2710</v>
      </c>
      <c r="C111" s="39">
        <v>62.1</v>
      </c>
      <c r="D111">
        <v>4.7023500000000003E-2</v>
      </c>
      <c r="G111">
        <f t="shared" si="8"/>
        <v>127.43368500000001</v>
      </c>
      <c r="H111">
        <f t="shared" si="6"/>
        <v>366.39000000000004</v>
      </c>
      <c r="J111">
        <f t="shared" si="9"/>
        <v>106</v>
      </c>
      <c r="K111">
        <f t="shared" si="7"/>
        <v>24694.132744439532</v>
      </c>
    </row>
    <row r="112" spans="1:11" x14ac:dyDescent="0.2">
      <c r="A112" s="39">
        <v>5.9</v>
      </c>
      <c r="B112" s="44">
        <v>2730</v>
      </c>
      <c r="C112" s="39">
        <v>140</v>
      </c>
      <c r="D112">
        <v>1.4227E-2</v>
      </c>
      <c r="G112">
        <f t="shared" si="8"/>
        <v>38.839709999999997</v>
      </c>
      <c r="H112">
        <f t="shared" si="6"/>
        <v>826</v>
      </c>
      <c r="J112">
        <f t="shared" si="9"/>
        <v>107</v>
      </c>
      <c r="K112">
        <f t="shared" si="7"/>
        <v>25044.400891217188</v>
      </c>
    </row>
    <row r="113" spans="1:11" x14ac:dyDescent="0.2">
      <c r="A113" s="39">
        <v>5.9</v>
      </c>
      <c r="B113" s="44">
        <v>2730</v>
      </c>
      <c r="C113" s="39">
        <v>180</v>
      </c>
      <c r="D113">
        <v>1.4227E-2</v>
      </c>
      <c r="G113">
        <f t="shared" si="8"/>
        <v>38.839709999999997</v>
      </c>
      <c r="H113">
        <f t="shared" si="6"/>
        <v>1062</v>
      </c>
      <c r="J113">
        <f t="shared" si="9"/>
        <v>108</v>
      </c>
      <c r="K113">
        <f t="shared" si="7"/>
        <v>25396.309653175987</v>
      </c>
    </row>
    <row r="114" spans="1:11" x14ac:dyDescent="0.2">
      <c r="A114" s="39">
        <v>5.9</v>
      </c>
      <c r="B114" s="44">
        <v>2730</v>
      </c>
      <c r="C114" s="39">
        <v>45</v>
      </c>
      <c r="D114">
        <v>1.4227E-2</v>
      </c>
      <c r="G114">
        <f t="shared" si="8"/>
        <v>38.839709999999997</v>
      </c>
      <c r="H114">
        <f t="shared" si="6"/>
        <v>265.5</v>
      </c>
      <c r="J114">
        <f t="shared" si="9"/>
        <v>109</v>
      </c>
      <c r="K114">
        <f t="shared" si="7"/>
        <v>25749.851417047052</v>
      </c>
    </row>
    <row r="115" spans="1:11" x14ac:dyDescent="0.2">
      <c r="A115" s="39">
        <v>5.9</v>
      </c>
      <c r="B115" s="44">
        <v>2700</v>
      </c>
      <c r="C115" s="39">
        <v>150.5</v>
      </c>
      <c r="D115">
        <v>3.1067999999999998E-2</v>
      </c>
      <c r="G115">
        <f t="shared" si="8"/>
        <v>83.883600000000001</v>
      </c>
      <c r="H115">
        <f t="shared" si="6"/>
        <v>887.95</v>
      </c>
      <c r="J115">
        <f t="shared" si="9"/>
        <v>110</v>
      </c>
      <c r="K115">
        <f t="shared" si="7"/>
        <v>26105.018674576746</v>
      </c>
    </row>
    <row r="116" spans="1:11" x14ac:dyDescent="0.2">
      <c r="A116" s="39">
        <v>5.9</v>
      </c>
      <c r="B116" s="44">
        <v>2700</v>
      </c>
      <c r="C116" s="39">
        <v>195</v>
      </c>
      <c r="D116">
        <v>3.1067999999999998E-2</v>
      </c>
      <c r="G116">
        <f t="shared" si="8"/>
        <v>83.883600000000001</v>
      </c>
      <c r="H116">
        <f t="shared" si="6"/>
        <v>1150.5</v>
      </c>
      <c r="J116">
        <f t="shared" si="9"/>
        <v>111</v>
      </c>
      <c r="K116">
        <f t="shared" si="7"/>
        <v>26461.804020134368</v>
      </c>
    </row>
    <row r="117" spans="1:11" x14ac:dyDescent="0.2">
      <c r="A117" s="39">
        <v>5.9</v>
      </c>
      <c r="B117" s="44">
        <v>2700</v>
      </c>
      <c r="C117" s="39">
        <v>90.5</v>
      </c>
      <c r="D117">
        <v>3.1067999999999998E-2</v>
      </c>
      <c r="G117">
        <f t="shared" si="8"/>
        <v>83.883600000000001</v>
      </c>
      <c r="H117">
        <f t="shared" si="6"/>
        <v>533.95000000000005</v>
      </c>
      <c r="J117">
        <f t="shared" si="9"/>
        <v>112</v>
      </c>
      <c r="K117">
        <f t="shared" si="7"/>
        <v>26820.200148395594</v>
      </c>
    </row>
    <row r="118" spans="1:11" x14ac:dyDescent="0.2">
      <c r="A118" s="39">
        <v>5.9</v>
      </c>
      <c r="B118" s="44">
        <v>2690</v>
      </c>
      <c r="C118" s="39">
        <v>145</v>
      </c>
      <c r="D118">
        <v>2.1656999999999999E-2</v>
      </c>
      <c r="G118">
        <f t="shared" si="8"/>
        <v>58.257329999999996</v>
      </c>
      <c r="H118">
        <f t="shared" si="6"/>
        <v>855.5</v>
      </c>
      <c r="J118">
        <f t="shared" si="9"/>
        <v>113</v>
      </c>
      <c r="K118">
        <f t="shared" si="7"/>
        <v>27180.199852098216</v>
      </c>
    </row>
    <row r="119" spans="1:11" x14ac:dyDescent="0.2">
      <c r="A119" s="39">
        <v>5.9</v>
      </c>
      <c r="B119" s="44">
        <v>2690</v>
      </c>
      <c r="C119" s="39">
        <v>165</v>
      </c>
      <c r="D119">
        <v>2.1656999999999999E-2</v>
      </c>
      <c r="G119">
        <f t="shared" si="8"/>
        <v>58.257329999999996</v>
      </c>
      <c r="H119">
        <f t="shared" si="6"/>
        <v>973.50000000000011</v>
      </c>
      <c r="J119">
        <f t="shared" si="9"/>
        <v>114</v>
      </c>
      <c r="K119">
        <f t="shared" si="7"/>
        <v>27541.796019867677</v>
      </c>
    </row>
    <row r="120" spans="1:11" x14ac:dyDescent="0.2">
      <c r="A120" s="39">
        <v>5.9</v>
      </c>
      <c r="B120" s="44">
        <v>2690</v>
      </c>
      <c r="C120" s="39">
        <v>45</v>
      </c>
      <c r="D120">
        <v>2.1656999999999999E-2</v>
      </c>
      <c r="G120">
        <f t="shared" si="8"/>
        <v>58.257329999999996</v>
      </c>
      <c r="H120">
        <f t="shared" si="6"/>
        <v>265.5</v>
      </c>
      <c r="J120">
        <f t="shared" si="9"/>
        <v>115</v>
      </c>
      <c r="K120">
        <f t="shared" si="7"/>
        <v>27904.98163410971</v>
      </c>
    </row>
    <row r="121" spans="1:11" x14ac:dyDescent="0.2">
      <c r="A121" s="39">
        <v>5.9</v>
      </c>
      <c r="B121" s="44">
        <v>2680</v>
      </c>
      <c r="C121" s="39">
        <v>106</v>
      </c>
      <c r="D121">
        <v>0.11135125000000001</v>
      </c>
      <c r="G121">
        <f t="shared" si="8"/>
        <v>298.42135000000002</v>
      </c>
      <c r="H121">
        <f t="shared" ref="H121:H184" si="11">A121*C121</f>
        <v>625.40000000000009</v>
      </c>
      <c r="J121">
        <f t="shared" si="9"/>
        <v>116</v>
      </c>
      <c r="K121">
        <f t="shared" si="7"/>
        <v>28269.749768966845</v>
      </c>
    </row>
    <row r="122" spans="1:11" x14ac:dyDescent="0.2">
      <c r="A122" s="39">
        <v>5.9</v>
      </c>
      <c r="B122" s="44">
        <v>2680</v>
      </c>
      <c r="C122" s="39">
        <v>246</v>
      </c>
      <c r="D122">
        <v>0.11135125000000001</v>
      </c>
      <c r="G122">
        <f t="shared" si="8"/>
        <v>298.42135000000002</v>
      </c>
      <c r="H122">
        <f t="shared" si="11"/>
        <v>1451.4</v>
      </c>
      <c r="J122">
        <f t="shared" si="9"/>
        <v>117</v>
      </c>
      <c r="K122">
        <f t="shared" si="7"/>
        <v>28636.093588337048</v>
      </c>
    </row>
    <row r="123" spans="1:11" x14ac:dyDescent="0.2">
      <c r="A123" s="39">
        <v>5.9</v>
      </c>
      <c r="B123" s="44">
        <v>2680</v>
      </c>
      <c r="C123" s="39">
        <v>162</v>
      </c>
      <c r="D123">
        <v>0.11135125000000001</v>
      </c>
      <c r="G123">
        <f t="shared" si="8"/>
        <v>298.42135000000002</v>
      </c>
      <c r="H123">
        <f t="shared" si="11"/>
        <v>955.80000000000007</v>
      </c>
      <c r="J123">
        <f t="shared" si="9"/>
        <v>118</v>
      </c>
      <c r="K123">
        <f t="shared" si="7"/>
        <v>29004.006343951853</v>
      </c>
    </row>
    <row r="124" spans="1:11" x14ac:dyDescent="0.2">
      <c r="A124" s="39">
        <v>5.9</v>
      </c>
      <c r="B124" s="44">
        <v>2685</v>
      </c>
      <c r="C124" s="39">
        <v>181</v>
      </c>
      <c r="D124">
        <v>0.11135125000000001</v>
      </c>
      <c r="G124">
        <f t="shared" si="8"/>
        <v>298.97810625000005</v>
      </c>
      <c r="H124">
        <f t="shared" si="11"/>
        <v>1067.9000000000001</v>
      </c>
      <c r="J124">
        <f t="shared" si="9"/>
        <v>119</v>
      </c>
      <c r="K124">
        <f t="shared" si="7"/>
        <v>29373.481373511022</v>
      </c>
    </row>
    <row r="125" spans="1:11" x14ac:dyDescent="0.2">
      <c r="A125" s="39">
        <v>5.9</v>
      </c>
      <c r="B125" s="44">
        <v>2680</v>
      </c>
      <c r="C125" s="39">
        <v>210.5</v>
      </c>
      <c r="D125">
        <v>0.11135125000000001</v>
      </c>
      <c r="G125">
        <f t="shared" si="8"/>
        <v>298.42135000000002</v>
      </c>
      <c r="H125">
        <f t="shared" si="11"/>
        <v>1241.95</v>
      </c>
      <c r="J125">
        <f t="shared" si="9"/>
        <v>120</v>
      </c>
      <c r="K125">
        <f t="shared" si="7"/>
        <v>29744.51209887295</v>
      </c>
    </row>
    <row r="126" spans="1:11" x14ac:dyDescent="0.2">
      <c r="A126" s="39">
        <v>5.9</v>
      </c>
      <c r="B126" s="44">
        <v>2680</v>
      </c>
      <c r="C126" s="39">
        <v>232.5</v>
      </c>
      <c r="D126">
        <v>0.11135125000000001</v>
      </c>
      <c r="G126">
        <f t="shared" si="8"/>
        <v>298.42135000000002</v>
      </c>
      <c r="H126">
        <f t="shared" si="11"/>
        <v>1371.75</v>
      </c>
      <c r="J126">
        <f t="shared" si="9"/>
        <v>121</v>
      </c>
      <c r="K126">
        <f t="shared" si="7"/>
        <v>30117.092024297428</v>
      </c>
    </row>
    <row r="127" spans="1:11" x14ac:dyDescent="0.2">
      <c r="A127" s="39">
        <v>5.9</v>
      </c>
      <c r="B127" s="44">
        <v>2680</v>
      </c>
      <c r="C127" s="39">
        <v>69.45</v>
      </c>
      <c r="D127">
        <v>0.11135125000000001</v>
      </c>
      <c r="G127">
        <f t="shared" si="8"/>
        <v>298.42135000000002</v>
      </c>
      <c r="H127">
        <f t="shared" si="11"/>
        <v>409.75500000000005</v>
      </c>
      <c r="J127">
        <f t="shared" si="9"/>
        <v>122</v>
      </c>
      <c r="K127">
        <f t="shared" si="7"/>
        <v>30491.214734739558</v>
      </c>
    </row>
    <row r="128" spans="1:11" x14ac:dyDescent="0.2">
      <c r="A128" s="39">
        <v>5.9</v>
      </c>
      <c r="B128" s="44">
        <v>2655</v>
      </c>
      <c r="C128" s="39">
        <v>148</v>
      </c>
      <c r="D128">
        <v>0.19069849999999999</v>
      </c>
      <c r="G128">
        <f t="shared" si="8"/>
        <v>506.30451749999997</v>
      </c>
      <c r="H128">
        <f t="shared" si="11"/>
        <v>873.2</v>
      </c>
      <c r="J128">
        <f t="shared" si="9"/>
        <v>123</v>
      </c>
      <c r="K128">
        <f t="shared" si="7"/>
        <v>30866.873894192762</v>
      </c>
    </row>
    <row r="129" spans="1:11" x14ac:dyDescent="0.2">
      <c r="A129" s="39">
        <v>5.9</v>
      </c>
      <c r="B129" s="44">
        <v>2655</v>
      </c>
      <c r="C129" s="39">
        <v>117</v>
      </c>
      <c r="D129">
        <v>0.19069849999999999</v>
      </c>
      <c r="G129">
        <f t="shared" si="8"/>
        <v>506.30451749999997</v>
      </c>
      <c r="H129">
        <f t="shared" si="11"/>
        <v>690.30000000000007</v>
      </c>
      <c r="J129">
        <f t="shared" si="9"/>
        <v>124</v>
      </c>
      <c r="K129">
        <f t="shared" si="7"/>
        <v>31244.063244078872</v>
      </c>
    </row>
    <row r="130" spans="1:11" x14ac:dyDescent="0.2">
      <c r="A130" s="39">
        <v>5.9</v>
      </c>
      <c r="B130" s="44">
        <v>2655</v>
      </c>
      <c r="C130" s="39">
        <v>207</v>
      </c>
      <c r="D130">
        <v>0.19069849999999999</v>
      </c>
      <c r="G130">
        <f t="shared" si="8"/>
        <v>506.30451749999997</v>
      </c>
      <c r="H130">
        <f t="shared" si="11"/>
        <v>1221.3000000000002</v>
      </c>
      <c r="J130">
        <f t="shared" si="9"/>
        <v>125</v>
      </c>
      <c r="K130">
        <f t="shared" si="7"/>
        <v>31622.776601683781</v>
      </c>
    </row>
    <row r="131" spans="1:11" x14ac:dyDescent="0.2">
      <c r="A131" s="39">
        <v>5.9</v>
      </c>
      <c r="B131" s="44">
        <v>2655</v>
      </c>
      <c r="C131" s="39">
        <v>246.5</v>
      </c>
      <c r="D131">
        <v>0.19069849999999999</v>
      </c>
      <c r="G131">
        <f t="shared" si="8"/>
        <v>506.30451749999997</v>
      </c>
      <c r="H131">
        <f t="shared" si="11"/>
        <v>1454.3500000000001</v>
      </c>
      <c r="J131">
        <f t="shared" si="9"/>
        <v>126</v>
      </c>
      <c r="K131">
        <f t="shared" si="7"/>
        <v>32003.007858637284</v>
      </c>
    </row>
    <row r="132" spans="1:11" x14ac:dyDescent="0.2">
      <c r="A132" s="39">
        <v>5.9</v>
      </c>
      <c r="B132" s="44">
        <v>2655</v>
      </c>
      <c r="C132" s="39">
        <v>283</v>
      </c>
      <c r="D132">
        <v>0.19069849999999999</v>
      </c>
      <c r="G132">
        <f t="shared" si="8"/>
        <v>506.30451749999997</v>
      </c>
      <c r="H132">
        <f t="shared" si="11"/>
        <v>1669.7</v>
      </c>
      <c r="J132">
        <f t="shared" si="9"/>
        <v>127</v>
      </c>
      <c r="K132">
        <f t="shared" si="7"/>
        <v>32384.750979434761</v>
      </c>
    </row>
    <row r="133" spans="1:11" x14ac:dyDescent="0.2">
      <c r="A133" s="39">
        <v>5.9</v>
      </c>
      <c r="B133" s="44">
        <v>2655</v>
      </c>
      <c r="C133" s="39">
        <v>120.5</v>
      </c>
      <c r="D133">
        <v>0.19069849999999999</v>
      </c>
      <c r="G133">
        <f t="shared" si="8"/>
        <v>506.30451749999997</v>
      </c>
      <c r="H133">
        <f t="shared" si="11"/>
        <v>710.95</v>
      </c>
      <c r="J133">
        <f t="shared" si="9"/>
        <v>128</v>
      </c>
      <c r="K133">
        <f t="shared" si="7"/>
        <v>32767.999999999985</v>
      </c>
    </row>
    <row r="134" spans="1:11" x14ac:dyDescent="0.2">
      <c r="A134" s="39">
        <v>5.9</v>
      </c>
      <c r="B134" s="44">
        <v>2655</v>
      </c>
      <c r="C134" s="39">
        <v>152.5</v>
      </c>
      <c r="D134">
        <v>0.17232949999999997</v>
      </c>
      <c r="G134">
        <f t="shared" si="8"/>
        <v>457.5348224999999</v>
      </c>
      <c r="H134">
        <f t="shared" si="11"/>
        <v>899.75</v>
      </c>
      <c r="J134">
        <f t="shared" si="9"/>
        <v>129</v>
      </c>
      <c r="K134">
        <f t="shared" si="7"/>
        <v>33152.74902628742</v>
      </c>
    </row>
    <row r="135" spans="1:11" x14ac:dyDescent="0.2">
      <c r="A135" s="39">
        <v>5.9</v>
      </c>
      <c r="B135" s="44">
        <v>2655</v>
      </c>
      <c r="C135" s="39">
        <v>110.5</v>
      </c>
      <c r="D135">
        <v>0.17232949999999997</v>
      </c>
      <c r="G135">
        <f t="shared" si="8"/>
        <v>457.5348224999999</v>
      </c>
      <c r="H135">
        <f t="shared" si="11"/>
        <v>651.95000000000005</v>
      </c>
      <c r="J135">
        <f t="shared" si="9"/>
        <v>130</v>
      </c>
      <c r="K135">
        <f t="shared" ref="K135:K198" si="12">(8*J135)^(3/2)</f>
        <v>33538.992232921984</v>
      </c>
    </row>
    <row r="136" spans="1:11" x14ac:dyDescent="0.2">
      <c r="A136" s="39">
        <v>5.9</v>
      </c>
      <c r="B136" s="44">
        <v>2655</v>
      </c>
      <c r="C136" s="39">
        <v>193</v>
      </c>
      <c r="D136">
        <v>0.17232949999999997</v>
      </c>
      <c r="G136">
        <f t="shared" ref="G136:G199" si="13">B136*D136</f>
        <v>457.5348224999999</v>
      </c>
      <c r="H136">
        <f t="shared" si="11"/>
        <v>1138.7</v>
      </c>
      <c r="J136">
        <f t="shared" ref="J136:J199" si="14">J135+1</f>
        <v>131</v>
      </c>
      <c r="K136">
        <f t="shared" si="12"/>
        <v>33926.723861876198</v>
      </c>
    </row>
    <row r="137" spans="1:11" x14ac:dyDescent="0.2">
      <c r="A137" s="39">
        <v>5.9</v>
      </c>
      <c r="B137" s="44">
        <v>2655</v>
      </c>
      <c r="C137" s="39">
        <v>240</v>
      </c>
      <c r="D137">
        <v>0.17232949999999997</v>
      </c>
      <c r="G137">
        <f t="shared" si="13"/>
        <v>457.5348224999999</v>
      </c>
      <c r="H137">
        <f t="shared" si="11"/>
        <v>1416</v>
      </c>
      <c r="J137">
        <f t="shared" si="14"/>
        <v>132</v>
      </c>
      <c r="K137">
        <f t="shared" si="12"/>
        <v>34315.938221182267</v>
      </c>
    </row>
    <row r="138" spans="1:11" x14ac:dyDescent="0.2">
      <c r="A138" s="39">
        <v>5.9</v>
      </c>
      <c r="B138" s="44">
        <v>2655</v>
      </c>
      <c r="C138" s="39">
        <v>268.5</v>
      </c>
      <c r="D138">
        <v>0.17232949999999997</v>
      </c>
      <c r="G138">
        <f t="shared" si="13"/>
        <v>457.5348224999999</v>
      </c>
      <c r="H138">
        <f t="shared" si="11"/>
        <v>1584.15</v>
      </c>
      <c r="J138">
        <f t="shared" si="14"/>
        <v>133</v>
      </c>
      <c r="K138">
        <f t="shared" si="12"/>
        <v>34706.62968367857</v>
      </c>
    </row>
    <row r="139" spans="1:11" x14ac:dyDescent="0.2">
      <c r="A139" s="39">
        <v>5.9</v>
      </c>
      <c r="B139" s="44">
        <v>2655</v>
      </c>
      <c r="C139" s="39">
        <v>298</v>
      </c>
      <c r="D139">
        <v>0.17232949999999997</v>
      </c>
      <c r="G139">
        <f t="shared" si="13"/>
        <v>457.5348224999999</v>
      </c>
      <c r="H139">
        <f t="shared" si="11"/>
        <v>1758.2</v>
      </c>
      <c r="J139">
        <f t="shared" si="14"/>
        <v>134</v>
      </c>
      <c r="K139">
        <f t="shared" si="12"/>
        <v>35098.792685789085</v>
      </c>
    </row>
    <row r="140" spans="1:11" x14ac:dyDescent="0.2">
      <c r="A140" s="39">
        <v>5.9</v>
      </c>
      <c r="B140" s="44">
        <v>2655</v>
      </c>
      <c r="C140" s="39">
        <v>102</v>
      </c>
      <c r="D140">
        <v>0.17232949999999997</v>
      </c>
      <c r="G140">
        <f t="shared" si="13"/>
        <v>457.5348224999999</v>
      </c>
      <c r="H140">
        <f t="shared" si="11"/>
        <v>601.80000000000007</v>
      </c>
      <c r="J140">
        <f t="shared" si="14"/>
        <v>135</v>
      </c>
      <c r="K140">
        <f t="shared" si="12"/>
        <v>35492.421726334775</v>
      </c>
    </row>
    <row r="141" spans="1:11" x14ac:dyDescent="0.2">
      <c r="A141" s="39">
        <v>5.9</v>
      </c>
      <c r="B141" s="44">
        <v>2670</v>
      </c>
      <c r="C141" s="39">
        <v>205</v>
      </c>
      <c r="D141">
        <v>0.15217124999999998</v>
      </c>
      <c r="G141">
        <f t="shared" si="13"/>
        <v>406.29723749999994</v>
      </c>
      <c r="H141">
        <f t="shared" si="11"/>
        <v>1209.5</v>
      </c>
      <c r="J141">
        <f t="shared" si="14"/>
        <v>136</v>
      </c>
      <c r="K141">
        <f t="shared" si="12"/>
        <v>35887.5113653761</v>
      </c>
    </row>
    <row r="142" spans="1:11" x14ac:dyDescent="0.2">
      <c r="A142" s="39">
        <v>5.9</v>
      </c>
      <c r="B142" s="44">
        <v>2670</v>
      </c>
      <c r="C142" s="39">
        <v>235</v>
      </c>
      <c r="D142">
        <v>0.15217124999999998</v>
      </c>
      <c r="G142">
        <f t="shared" si="13"/>
        <v>406.29723749999994</v>
      </c>
      <c r="H142">
        <f t="shared" si="11"/>
        <v>1386.5</v>
      </c>
      <c r="J142">
        <f t="shared" si="14"/>
        <v>137</v>
      </c>
      <c r="K142">
        <f t="shared" si="12"/>
        <v>36284.056223085099</v>
      </c>
    </row>
    <row r="143" spans="1:11" x14ac:dyDescent="0.2">
      <c r="A143" s="39">
        <v>5.9</v>
      </c>
      <c r="B143" s="44">
        <v>2670</v>
      </c>
      <c r="C143" s="39">
        <v>110.5</v>
      </c>
      <c r="D143">
        <v>0.15217124999999998</v>
      </c>
      <c r="G143">
        <f t="shared" si="13"/>
        <v>406.29723749999994</v>
      </c>
      <c r="H143">
        <f t="shared" si="11"/>
        <v>651.95000000000005</v>
      </c>
      <c r="J143">
        <f t="shared" si="14"/>
        <v>138</v>
      </c>
      <c r="K143">
        <f t="shared" si="12"/>
        <v>36682.050978646235</v>
      </c>
    </row>
    <row r="144" spans="1:11" x14ac:dyDescent="0.2">
      <c r="A144" s="39">
        <v>5.9</v>
      </c>
      <c r="B144" s="44">
        <v>2655</v>
      </c>
      <c r="C144" s="39">
        <v>251.5</v>
      </c>
      <c r="D144">
        <v>0.18763149999999998</v>
      </c>
      <c r="G144">
        <f t="shared" si="13"/>
        <v>498.16163249999994</v>
      </c>
      <c r="H144">
        <f t="shared" si="11"/>
        <v>1483.8500000000001</v>
      </c>
      <c r="J144">
        <f t="shared" si="14"/>
        <v>139</v>
      </c>
      <c r="K144">
        <f t="shared" si="12"/>
        <v>37081.490369185543</v>
      </c>
    </row>
    <row r="145" spans="1:11" x14ac:dyDescent="0.2">
      <c r="A145" s="39">
        <v>5.9</v>
      </c>
      <c r="B145" s="44">
        <v>2655</v>
      </c>
      <c r="C145" s="39">
        <v>264.5</v>
      </c>
      <c r="D145">
        <v>0.18763149999999998</v>
      </c>
      <c r="G145">
        <f t="shared" si="13"/>
        <v>498.16163249999994</v>
      </c>
      <c r="H145">
        <f t="shared" si="11"/>
        <v>1560.5500000000002</v>
      </c>
      <c r="J145">
        <f t="shared" si="14"/>
        <v>140</v>
      </c>
      <c r="K145">
        <f t="shared" si="12"/>
        <v>37482.369188726574</v>
      </c>
    </row>
    <row r="146" spans="1:11" x14ac:dyDescent="0.2">
      <c r="A146" s="39">
        <v>5.9</v>
      </c>
      <c r="B146" s="44">
        <v>2655</v>
      </c>
      <c r="C146" s="39">
        <v>393</v>
      </c>
      <c r="D146">
        <v>0.18763149999999998</v>
      </c>
      <c r="G146">
        <f t="shared" si="13"/>
        <v>498.16163249999994</v>
      </c>
      <c r="H146">
        <f t="shared" si="11"/>
        <v>2318.7000000000003</v>
      </c>
      <c r="J146">
        <f t="shared" si="14"/>
        <v>141</v>
      </c>
      <c r="K146">
        <f t="shared" si="12"/>
        <v>37884.682287172502</v>
      </c>
    </row>
    <row r="147" spans="1:11" x14ac:dyDescent="0.2">
      <c r="A147" s="39">
        <v>5.9</v>
      </c>
      <c r="B147" s="44">
        <v>2655</v>
      </c>
      <c r="C147" s="39">
        <v>234</v>
      </c>
      <c r="D147">
        <v>0.18763149999999998</v>
      </c>
      <c r="G147">
        <f t="shared" si="13"/>
        <v>498.16163249999994</v>
      </c>
      <c r="H147">
        <f t="shared" si="11"/>
        <v>1380.6000000000001</v>
      </c>
      <c r="J147">
        <f t="shared" si="14"/>
        <v>142</v>
      </c>
      <c r="K147">
        <f t="shared" si="12"/>
        <v>38288.424569313414</v>
      </c>
    </row>
    <row r="148" spans="1:11" x14ac:dyDescent="0.2">
      <c r="A148" s="39">
        <v>5.9</v>
      </c>
      <c r="B148" s="44">
        <v>2655</v>
      </c>
      <c r="C148" s="39">
        <v>283</v>
      </c>
      <c r="D148">
        <v>0.18763149999999998</v>
      </c>
      <c r="G148">
        <f t="shared" si="13"/>
        <v>498.16163249999994</v>
      </c>
      <c r="H148">
        <f t="shared" si="11"/>
        <v>1669.7</v>
      </c>
      <c r="J148">
        <f t="shared" si="14"/>
        <v>143</v>
      </c>
      <c r="K148">
        <f t="shared" si="12"/>
        <v>38693.590993858401</v>
      </c>
    </row>
    <row r="149" spans="1:11" x14ac:dyDescent="0.2">
      <c r="A149" s="39">
        <v>5.9</v>
      </c>
      <c r="B149" s="44">
        <v>2655</v>
      </c>
      <c r="C149" s="39">
        <v>143</v>
      </c>
      <c r="D149">
        <v>0.18763149999999998</v>
      </c>
      <c r="G149">
        <f t="shared" si="13"/>
        <v>498.16163249999994</v>
      </c>
      <c r="H149">
        <f t="shared" si="11"/>
        <v>843.7</v>
      </c>
      <c r="J149">
        <f t="shared" si="14"/>
        <v>144</v>
      </c>
      <c r="K149">
        <f t="shared" si="12"/>
        <v>39100.176572491335</v>
      </c>
    </row>
    <row r="150" spans="1:11" x14ac:dyDescent="0.2">
      <c r="A150" s="39">
        <v>5.9</v>
      </c>
      <c r="B150" s="44">
        <v>2690</v>
      </c>
      <c r="C150" s="39">
        <v>190.5</v>
      </c>
      <c r="D150">
        <v>9.0980749999999971E-2</v>
      </c>
      <c r="G150">
        <f t="shared" si="13"/>
        <v>244.73821749999993</v>
      </c>
      <c r="H150">
        <f t="shared" si="11"/>
        <v>1123.95</v>
      </c>
      <c r="J150">
        <f t="shared" si="14"/>
        <v>145</v>
      </c>
      <c r="K150">
        <f t="shared" si="12"/>
        <v>39508.176368949222</v>
      </c>
    </row>
    <row r="151" spans="1:11" x14ac:dyDescent="0.2">
      <c r="A151" s="39">
        <v>5.9</v>
      </c>
      <c r="B151" s="44">
        <v>2690</v>
      </c>
      <c r="C151" s="39">
        <v>240</v>
      </c>
      <c r="D151">
        <v>9.0980749999999971E-2</v>
      </c>
      <c r="G151">
        <f t="shared" si="13"/>
        <v>244.73821749999993</v>
      </c>
      <c r="H151">
        <f t="shared" si="11"/>
        <v>1416</v>
      </c>
      <c r="J151">
        <f t="shared" si="14"/>
        <v>146</v>
      </c>
      <c r="K151">
        <f t="shared" si="12"/>
        <v>39917.585498123481</v>
      </c>
    </row>
    <row r="152" spans="1:11" x14ac:dyDescent="0.2">
      <c r="A152" s="39">
        <v>5.9</v>
      </c>
      <c r="B152" s="44">
        <v>2690</v>
      </c>
      <c r="C152" s="39">
        <v>68</v>
      </c>
      <c r="D152">
        <v>9.0980749999999971E-2</v>
      </c>
      <c r="G152">
        <f t="shared" si="13"/>
        <v>244.73821749999993</v>
      </c>
      <c r="H152">
        <f t="shared" si="11"/>
        <v>401.20000000000005</v>
      </c>
      <c r="J152">
        <f t="shared" si="14"/>
        <v>147</v>
      </c>
      <c r="K152">
        <f t="shared" si="12"/>
        <v>40328.399125182244</v>
      </c>
    </row>
    <row r="153" spans="1:11" x14ac:dyDescent="0.2">
      <c r="A153" s="39">
        <v>5.9</v>
      </c>
      <c r="B153" s="44">
        <v>2685</v>
      </c>
      <c r="C153" s="39">
        <v>138</v>
      </c>
      <c r="D153">
        <v>0.11659899999999999</v>
      </c>
      <c r="G153">
        <f t="shared" si="13"/>
        <v>313.06831499999998</v>
      </c>
      <c r="H153">
        <f t="shared" si="11"/>
        <v>814.2</v>
      </c>
      <c r="J153">
        <f t="shared" si="14"/>
        <v>148</v>
      </c>
      <c r="K153">
        <f t="shared" si="12"/>
        <v>40740.612464713871</v>
      </c>
    </row>
    <row r="154" spans="1:11" x14ac:dyDescent="0.2">
      <c r="A154" s="39">
        <v>5.9</v>
      </c>
      <c r="B154" s="44">
        <v>2685</v>
      </c>
      <c r="C154" s="39">
        <v>103.5</v>
      </c>
      <c r="D154">
        <v>0.11659899999999999</v>
      </c>
      <c r="G154">
        <f t="shared" si="13"/>
        <v>313.06831499999998</v>
      </c>
      <c r="H154">
        <f t="shared" si="11"/>
        <v>610.65000000000009</v>
      </c>
      <c r="J154">
        <f t="shared" si="14"/>
        <v>149</v>
      </c>
      <c r="K154">
        <f t="shared" si="12"/>
        <v>41154.220779890857</v>
      </c>
    </row>
    <row r="155" spans="1:11" x14ac:dyDescent="0.2">
      <c r="A155" s="39">
        <v>5.9</v>
      </c>
      <c r="B155" s="44">
        <v>2685</v>
      </c>
      <c r="C155" s="39">
        <v>205</v>
      </c>
      <c r="D155">
        <v>0.11659899999999999</v>
      </c>
      <c r="G155">
        <f t="shared" si="13"/>
        <v>313.06831499999998</v>
      </c>
      <c r="H155">
        <f t="shared" si="11"/>
        <v>1209.5</v>
      </c>
      <c r="J155">
        <f t="shared" si="14"/>
        <v>150</v>
      </c>
      <c r="K155">
        <f t="shared" si="12"/>
        <v>41569.219381653056</v>
      </c>
    </row>
    <row r="156" spans="1:11" x14ac:dyDescent="0.2">
      <c r="A156" s="39">
        <v>5.9</v>
      </c>
      <c r="B156" s="44">
        <v>2685</v>
      </c>
      <c r="C156" s="39">
        <v>235</v>
      </c>
      <c r="D156">
        <v>0.11659899999999999</v>
      </c>
      <c r="G156">
        <f t="shared" si="13"/>
        <v>313.06831499999998</v>
      </c>
      <c r="H156">
        <f t="shared" si="11"/>
        <v>1386.5</v>
      </c>
      <c r="J156">
        <f t="shared" si="14"/>
        <v>151</v>
      </c>
      <c r="K156">
        <f t="shared" si="12"/>
        <v>41985.603627910401</v>
      </c>
    </row>
    <row r="157" spans="1:11" x14ac:dyDescent="0.2">
      <c r="A157" s="39">
        <v>5.9</v>
      </c>
      <c r="B157" s="44">
        <v>2685</v>
      </c>
      <c r="C157" s="39">
        <v>175.5</v>
      </c>
      <c r="D157">
        <v>0.11659899999999999</v>
      </c>
      <c r="G157">
        <f t="shared" si="13"/>
        <v>313.06831499999998</v>
      </c>
      <c r="H157">
        <f t="shared" si="11"/>
        <v>1035.45</v>
      </c>
      <c r="J157">
        <f t="shared" si="14"/>
        <v>152</v>
      </c>
      <c r="K157">
        <f t="shared" si="12"/>
        <v>42403.36892276373</v>
      </c>
    </row>
    <row r="158" spans="1:11" x14ac:dyDescent="0.2">
      <c r="A158" s="39">
        <v>5.9</v>
      </c>
      <c r="B158" s="44">
        <v>2685</v>
      </c>
      <c r="C158" s="39">
        <v>203</v>
      </c>
      <c r="D158">
        <v>0.11659899999999999</v>
      </c>
      <c r="G158">
        <f t="shared" si="13"/>
        <v>313.06831499999998</v>
      </c>
      <c r="H158">
        <f t="shared" si="11"/>
        <v>1197.7</v>
      </c>
      <c r="J158">
        <f t="shared" si="14"/>
        <v>153</v>
      </c>
      <c r="K158">
        <f t="shared" si="12"/>
        <v>42822.510715743891</v>
      </c>
    </row>
    <row r="159" spans="1:11" x14ac:dyDescent="0.2">
      <c r="A159" s="39">
        <v>5.9</v>
      </c>
      <c r="B159" s="44">
        <v>2685</v>
      </c>
      <c r="C159" s="39">
        <v>87.35</v>
      </c>
      <c r="D159">
        <v>0.11659899999999999</v>
      </c>
      <c r="G159">
        <f t="shared" si="13"/>
        <v>313.06831499999998</v>
      </c>
      <c r="H159">
        <f t="shared" si="11"/>
        <v>515.36500000000001</v>
      </c>
      <c r="J159">
        <f t="shared" si="14"/>
        <v>154</v>
      </c>
      <c r="K159">
        <f t="shared" si="12"/>
        <v>43243.024501068343</v>
      </c>
    </row>
    <row r="160" spans="1:11" x14ac:dyDescent="0.2">
      <c r="A160" s="39">
        <v>5.9</v>
      </c>
      <c r="B160" s="44">
        <v>2655</v>
      </c>
      <c r="C160" s="39">
        <v>188.5</v>
      </c>
      <c r="D160">
        <v>0.21456699999999998</v>
      </c>
      <c r="G160">
        <f t="shared" si="13"/>
        <v>569.67538499999989</v>
      </c>
      <c r="H160">
        <f t="shared" si="11"/>
        <v>1112.1500000000001</v>
      </c>
      <c r="J160">
        <f t="shared" si="14"/>
        <v>155</v>
      </c>
      <c r="K160">
        <f t="shared" si="12"/>
        <v>43664.905816914368</v>
      </c>
    </row>
    <row r="161" spans="1:11" x14ac:dyDescent="0.2">
      <c r="A161" s="39">
        <v>5.9</v>
      </c>
      <c r="B161" s="44">
        <v>2655</v>
      </c>
      <c r="C161" s="39">
        <v>130.5</v>
      </c>
      <c r="D161">
        <v>0.21456699999999998</v>
      </c>
      <c r="G161">
        <f t="shared" si="13"/>
        <v>569.67538499999989</v>
      </c>
      <c r="H161">
        <f t="shared" si="11"/>
        <v>769.95</v>
      </c>
      <c r="J161">
        <f t="shared" si="14"/>
        <v>156</v>
      </c>
      <c r="K161">
        <f t="shared" si="12"/>
        <v>44088.150244708653</v>
      </c>
    </row>
    <row r="162" spans="1:11" x14ac:dyDescent="0.2">
      <c r="A162" s="39">
        <v>5.9</v>
      </c>
      <c r="B162" s="44">
        <v>2655</v>
      </c>
      <c r="C162" s="39">
        <v>210.5</v>
      </c>
      <c r="D162">
        <v>0.21456699999999998</v>
      </c>
      <c r="G162">
        <f t="shared" si="13"/>
        <v>569.67538499999989</v>
      </c>
      <c r="H162">
        <f t="shared" si="11"/>
        <v>1241.95</v>
      </c>
      <c r="J162">
        <f t="shared" si="14"/>
        <v>157</v>
      </c>
      <c r="K162">
        <f t="shared" si="12"/>
        <v>44512.75340843336</v>
      </c>
    </row>
    <row r="163" spans="1:11" x14ac:dyDescent="0.2">
      <c r="A163" s="39">
        <v>5.9</v>
      </c>
      <c r="B163" s="44">
        <v>2655</v>
      </c>
      <c r="C163" s="39">
        <v>117</v>
      </c>
      <c r="D163">
        <v>0.21456699999999998</v>
      </c>
      <c r="G163">
        <f t="shared" si="13"/>
        <v>569.67538499999989</v>
      </c>
      <c r="H163">
        <f t="shared" si="11"/>
        <v>690.30000000000007</v>
      </c>
      <c r="J163">
        <f t="shared" si="14"/>
        <v>158</v>
      </c>
      <c r="K163">
        <f t="shared" si="12"/>
        <v>44938.710973947622</v>
      </c>
    </row>
    <row r="164" spans="1:11" x14ac:dyDescent="0.2">
      <c r="A164" s="39">
        <v>5.9</v>
      </c>
      <c r="B164" s="44">
        <v>2680</v>
      </c>
      <c r="C164" s="39">
        <v>166</v>
      </c>
      <c r="D164">
        <v>0.13559149999999998</v>
      </c>
      <c r="G164">
        <f t="shared" si="13"/>
        <v>363.38521999999995</v>
      </c>
      <c r="H164">
        <f t="shared" si="11"/>
        <v>979.40000000000009</v>
      </c>
      <c r="J164">
        <f t="shared" si="14"/>
        <v>159</v>
      </c>
      <c r="K164">
        <f t="shared" si="12"/>
        <v>45366.018648323166</v>
      </c>
    </row>
    <row r="165" spans="1:11" x14ac:dyDescent="0.2">
      <c r="A165" s="39">
        <v>5.9</v>
      </c>
      <c r="B165" s="44">
        <v>2680</v>
      </c>
      <c r="C165" s="39">
        <v>189</v>
      </c>
      <c r="D165">
        <v>0.13559149999999998</v>
      </c>
      <c r="G165">
        <f t="shared" si="13"/>
        <v>363.38521999999995</v>
      </c>
      <c r="H165">
        <f t="shared" si="11"/>
        <v>1115.1000000000001</v>
      </c>
      <c r="J165">
        <f t="shared" si="14"/>
        <v>160</v>
      </c>
      <c r="K165">
        <f t="shared" si="12"/>
        <v>45794.672179195688</v>
      </c>
    </row>
    <row r="166" spans="1:11" x14ac:dyDescent="0.2">
      <c r="A166" s="39">
        <v>5.9</v>
      </c>
      <c r="B166" s="44">
        <v>2680</v>
      </c>
      <c r="C166" s="39">
        <v>212</v>
      </c>
      <c r="D166">
        <v>0.13559149999999998</v>
      </c>
      <c r="G166">
        <f t="shared" si="13"/>
        <v>363.38521999999995</v>
      </c>
      <c r="H166">
        <f t="shared" si="11"/>
        <v>1250.8000000000002</v>
      </c>
      <c r="J166">
        <f t="shared" si="14"/>
        <v>161</v>
      </c>
      <c r="K166">
        <f t="shared" si="12"/>
        <v>46224.667354130332</v>
      </c>
    </row>
    <row r="167" spans="1:11" x14ac:dyDescent="0.2">
      <c r="A167" s="39">
        <v>5.9</v>
      </c>
      <c r="B167" s="44">
        <v>2680</v>
      </c>
      <c r="C167" s="39">
        <v>238</v>
      </c>
      <c r="D167">
        <v>0.13559149999999998</v>
      </c>
      <c r="G167">
        <f t="shared" si="13"/>
        <v>363.38521999999995</v>
      </c>
      <c r="H167">
        <f t="shared" si="11"/>
        <v>1404.2</v>
      </c>
      <c r="J167">
        <f t="shared" si="14"/>
        <v>162</v>
      </c>
      <c r="K167">
        <f t="shared" si="12"/>
        <v>46656.000000000029</v>
      </c>
    </row>
    <row r="168" spans="1:11" x14ac:dyDescent="0.2">
      <c r="A168" s="39">
        <v>5.9</v>
      </c>
      <c r="B168" s="44">
        <v>2680</v>
      </c>
      <c r="C168" s="39">
        <v>276.5</v>
      </c>
      <c r="D168">
        <v>0.13559149999999998</v>
      </c>
      <c r="G168">
        <f t="shared" si="13"/>
        <v>363.38521999999995</v>
      </c>
      <c r="H168">
        <f t="shared" si="11"/>
        <v>1631.3500000000001</v>
      </c>
      <c r="J168">
        <f t="shared" si="14"/>
        <v>163</v>
      </c>
      <c r="K168">
        <f t="shared" si="12"/>
        <v>47088.665982378428</v>
      </c>
    </row>
    <row r="169" spans="1:11" x14ac:dyDescent="0.2">
      <c r="A169" s="39">
        <v>5.9</v>
      </c>
      <c r="B169" s="44">
        <v>2680</v>
      </c>
      <c r="C169" s="39">
        <v>100</v>
      </c>
      <c r="D169">
        <v>0.13559149999999998</v>
      </c>
      <c r="G169">
        <f t="shared" si="13"/>
        <v>363.38521999999995</v>
      </c>
      <c r="H169">
        <f t="shared" si="11"/>
        <v>590</v>
      </c>
      <c r="J169">
        <f t="shared" si="14"/>
        <v>164</v>
      </c>
      <c r="K169">
        <f t="shared" si="12"/>
        <v>47522.661204945143</v>
      </c>
    </row>
    <row r="170" spans="1:11" x14ac:dyDescent="0.2">
      <c r="A170" s="39">
        <v>5.9</v>
      </c>
      <c r="B170" s="44">
        <v>2705</v>
      </c>
      <c r="C170" s="39">
        <v>113.5</v>
      </c>
      <c r="D170">
        <v>4.2388999999999996E-2</v>
      </c>
      <c r="G170">
        <f t="shared" si="13"/>
        <v>114.66224499999998</v>
      </c>
      <c r="H170">
        <f t="shared" si="11"/>
        <v>669.65000000000009</v>
      </c>
      <c r="J170">
        <f t="shared" si="14"/>
        <v>165</v>
      </c>
      <c r="K170">
        <f t="shared" si="12"/>
        <v>47957.981608904243</v>
      </c>
    </row>
    <row r="171" spans="1:11" x14ac:dyDescent="0.2">
      <c r="A171" s="39">
        <v>5.9</v>
      </c>
      <c r="B171" s="44">
        <v>2705</v>
      </c>
      <c r="C171" s="39">
        <v>260</v>
      </c>
      <c r="D171">
        <v>4.2388999999999996E-2</v>
      </c>
      <c r="G171">
        <f t="shared" si="13"/>
        <v>114.66224499999998</v>
      </c>
      <c r="H171">
        <f t="shared" si="11"/>
        <v>1534</v>
      </c>
      <c r="J171">
        <f t="shared" si="14"/>
        <v>166</v>
      </c>
      <c r="K171">
        <f t="shared" si="12"/>
        <v>48394.623172414525</v>
      </c>
    </row>
    <row r="172" spans="1:11" x14ac:dyDescent="0.2">
      <c r="A172" s="39">
        <v>5.9</v>
      </c>
      <c r="B172" s="44">
        <v>2710</v>
      </c>
      <c r="C172" s="39">
        <v>108.5</v>
      </c>
      <c r="D172">
        <v>4.5375499999999999E-2</v>
      </c>
      <c r="G172">
        <f t="shared" si="13"/>
        <v>122.96760499999999</v>
      </c>
      <c r="H172">
        <f t="shared" si="11"/>
        <v>640.15000000000009</v>
      </c>
      <c r="J172">
        <f t="shared" si="14"/>
        <v>167</v>
      </c>
      <c r="K172">
        <f t="shared" si="12"/>
        <v>48832.581910032139</v>
      </c>
    </row>
    <row r="173" spans="1:11" x14ac:dyDescent="0.2">
      <c r="A173" s="39">
        <v>5.9</v>
      </c>
      <c r="B173" s="44">
        <v>2710</v>
      </c>
      <c r="C173" s="39">
        <v>110.5</v>
      </c>
      <c r="D173">
        <v>4.5375499999999999E-2</v>
      </c>
      <c r="G173">
        <f t="shared" si="13"/>
        <v>122.96760499999999</v>
      </c>
      <c r="H173">
        <f t="shared" si="11"/>
        <v>651.95000000000005</v>
      </c>
      <c r="J173">
        <f t="shared" si="14"/>
        <v>168</v>
      </c>
      <c r="K173">
        <f t="shared" si="12"/>
        <v>49271.8538721652</v>
      </c>
    </row>
    <row r="174" spans="1:11" x14ac:dyDescent="0.2">
      <c r="A174" s="39">
        <v>5.9</v>
      </c>
      <c r="B174" s="44">
        <v>2710</v>
      </c>
      <c r="C174" s="39">
        <v>216.5</v>
      </c>
      <c r="D174">
        <v>4.5375499999999999E-2</v>
      </c>
      <c r="G174">
        <f t="shared" si="13"/>
        <v>122.96760499999999</v>
      </c>
      <c r="H174">
        <f t="shared" si="11"/>
        <v>1277.3500000000001</v>
      </c>
      <c r="J174">
        <f t="shared" si="14"/>
        <v>169</v>
      </c>
      <c r="K174">
        <f t="shared" si="12"/>
        <v>49712.435144539035</v>
      </c>
    </row>
    <row r="175" spans="1:11" x14ac:dyDescent="0.2">
      <c r="A175" s="39">
        <v>5.9</v>
      </c>
      <c r="B175" s="44">
        <v>2710</v>
      </c>
      <c r="C175" s="39">
        <v>243.5</v>
      </c>
      <c r="D175">
        <v>4.5375499999999999E-2</v>
      </c>
      <c r="G175">
        <f t="shared" si="13"/>
        <v>122.96760499999999</v>
      </c>
      <c r="H175">
        <f t="shared" si="11"/>
        <v>1436.65</v>
      </c>
      <c r="J175">
        <f t="shared" si="14"/>
        <v>170</v>
      </c>
      <c r="K175">
        <f t="shared" si="12"/>
        <v>50154.321847673302</v>
      </c>
    </row>
    <row r="176" spans="1:11" x14ac:dyDescent="0.2">
      <c r="A176" s="39">
        <v>5.9</v>
      </c>
      <c r="B176" s="44">
        <v>2710</v>
      </c>
      <c r="C176" s="39">
        <v>58</v>
      </c>
      <c r="D176">
        <v>4.7858500000000005E-2</v>
      </c>
      <c r="G176">
        <f t="shared" si="13"/>
        <v>129.69653500000001</v>
      </c>
      <c r="H176">
        <f t="shared" si="11"/>
        <v>342.20000000000005</v>
      </c>
      <c r="J176">
        <f t="shared" si="14"/>
        <v>171</v>
      </c>
      <c r="K176">
        <f t="shared" si="12"/>
        <v>50597.510136369368</v>
      </c>
    </row>
    <row r="177" spans="1:11" x14ac:dyDescent="0.2">
      <c r="A177" s="39">
        <v>5.9</v>
      </c>
      <c r="B177" s="44">
        <v>2710</v>
      </c>
      <c r="C177" s="39">
        <v>126</v>
      </c>
      <c r="D177">
        <v>4.7858500000000005E-2</v>
      </c>
      <c r="G177">
        <f t="shared" si="13"/>
        <v>129.69653500000001</v>
      </c>
      <c r="H177">
        <f t="shared" si="11"/>
        <v>743.40000000000009</v>
      </c>
      <c r="J177">
        <f t="shared" si="14"/>
        <v>172</v>
      </c>
      <c r="K177">
        <f t="shared" si="12"/>
        <v>51041.996199208304</v>
      </c>
    </row>
    <row r="178" spans="1:11" x14ac:dyDescent="0.2">
      <c r="A178" s="39">
        <v>5.9</v>
      </c>
      <c r="B178" s="44">
        <v>2710</v>
      </c>
      <c r="C178" s="39">
        <v>310.5</v>
      </c>
      <c r="D178">
        <v>4.7858500000000005E-2</v>
      </c>
      <c r="G178">
        <f t="shared" si="13"/>
        <v>129.69653500000001</v>
      </c>
      <c r="H178">
        <f t="shared" si="11"/>
        <v>1831.95</v>
      </c>
      <c r="J178">
        <f t="shared" si="14"/>
        <v>173</v>
      </c>
      <c r="K178">
        <f t="shared" si="12"/>
        <v>51487.776258059523</v>
      </c>
    </row>
    <row r="179" spans="1:11" x14ac:dyDescent="0.2">
      <c r="A179" s="39">
        <v>5.9</v>
      </c>
      <c r="B179" s="44">
        <v>2710</v>
      </c>
      <c r="C179" s="39">
        <v>260</v>
      </c>
      <c r="D179">
        <v>4.7858500000000005E-2</v>
      </c>
      <c r="G179">
        <f t="shared" si="13"/>
        <v>129.69653500000001</v>
      </c>
      <c r="H179">
        <f t="shared" si="11"/>
        <v>1534</v>
      </c>
      <c r="J179">
        <f t="shared" si="14"/>
        <v>174</v>
      </c>
      <c r="K179">
        <f t="shared" si="12"/>
        <v>51934.846567598594</v>
      </c>
    </row>
    <row r="180" spans="1:11" x14ac:dyDescent="0.2">
      <c r="A180" s="39">
        <v>5.9</v>
      </c>
      <c r="B180" s="44">
        <v>2715</v>
      </c>
      <c r="C180" s="39">
        <v>61</v>
      </c>
      <c r="D180">
        <v>6.1572500000000002E-2</v>
      </c>
      <c r="G180">
        <f t="shared" si="13"/>
        <v>167.16933750000001</v>
      </c>
      <c r="H180">
        <f t="shared" si="11"/>
        <v>359.90000000000003</v>
      </c>
      <c r="J180">
        <f t="shared" si="14"/>
        <v>175</v>
      </c>
      <c r="K180">
        <f t="shared" si="12"/>
        <v>52383.203414835189</v>
      </c>
    </row>
    <row r="181" spans="1:11" x14ac:dyDescent="0.2">
      <c r="A181" s="39">
        <v>5.9</v>
      </c>
      <c r="B181" s="44">
        <v>2715</v>
      </c>
      <c r="C181" s="39">
        <v>177</v>
      </c>
      <c r="D181">
        <v>6.1572500000000002E-2</v>
      </c>
      <c r="G181">
        <f t="shared" si="13"/>
        <v>167.16933750000001</v>
      </c>
      <c r="H181">
        <f t="shared" si="11"/>
        <v>1044.3</v>
      </c>
      <c r="J181">
        <f t="shared" si="14"/>
        <v>176</v>
      </c>
      <c r="K181">
        <f t="shared" si="12"/>
        <v>52832.843118651079</v>
      </c>
    </row>
    <row r="182" spans="1:11" x14ac:dyDescent="0.2">
      <c r="A182" s="39">
        <v>5.9</v>
      </c>
      <c r="B182" s="44">
        <v>2715</v>
      </c>
      <c r="C182" s="39">
        <v>362</v>
      </c>
      <c r="D182">
        <v>6.1572500000000002E-2</v>
      </c>
      <c r="G182">
        <f t="shared" si="13"/>
        <v>167.16933750000001</v>
      </c>
      <c r="H182">
        <f t="shared" si="11"/>
        <v>2135.8000000000002</v>
      </c>
      <c r="J182">
        <f t="shared" si="14"/>
        <v>177</v>
      </c>
      <c r="K182">
        <f t="shared" si="12"/>
        <v>53283.762029346261</v>
      </c>
    </row>
    <row r="183" spans="1:11" x14ac:dyDescent="0.2">
      <c r="A183" s="39">
        <v>5.9</v>
      </c>
      <c r="B183" s="44">
        <v>2710</v>
      </c>
      <c r="C183" s="39">
        <v>351</v>
      </c>
      <c r="D183">
        <v>6.4186499999999994E-2</v>
      </c>
      <c r="G183">
        <f t="shared" si="13"/>
        <v>173.94541499999997</v>
      </c>
      <c r="H183">
        <f t="shared" si="11"/>
        <v>2070.9</v>
      </c>
      <c r="J183">
        <f t="shared" si="14"/>
        <v>178</v>
      </c>
      <c r="K183">
        <f t="shared" si="12"/>
        <v>53735.95652819438</v>
      </c>
    </row>
    <row r="184" spans="1:11" x14ac:dyDescent="0.2">
      <c r="A184" s="39">
        <v>5.9</v>
      </c>
      <c r="B184" s="44">
        <v>2700</v>
      </c>
      <c r="C184" s="39">
        <v>50.15</v>
      </c>
      <c r="D184">
        <v>5.32025E-2</v>
      </c>
      <c r="G184">
        <f t="shared" si="13"/>
        <v>143.64675</v>
      </c>
      <c r="H184">
        <f t="shared" si="11"/>
        <v>295.88499999999999</v>
      </c>
      <c r="J184">
        <f t="shared" si="14"/>
        <v>179</v>
      </c>
      <c r="K184">
        <f t="shared" si="12"/>
        <v>54189.423027007833</v>
      </c>
    </row>
    <row r="185" spans="1:11" x14ac:dyDescent="0.2">
      <c r="A185" s="39">
        <v>5.9</v>
      </c>
      <c r="B185" s="44">
        <v>2700</v>
      </c>
      <c r="C185" s="39">
        <v>90.25</v>
      </c>
      <c r="D185">
        <v>5.32025E-2</v>
      </c>
      <c r="G185">
        <f t="shared" si="13"/>
        <v>143.64675</v>
      </c>
      <c r="H185">
        <f t="shared" ref="H185:H248" si="15">A185*C185</f>
        <v>532.47500000000002</v>
      </c>
      <c r="J185">
        <f t="shared" si="14"/>
        <v>180</v>
      </c>
      <c r="K185">
        <f t="shared" si="12"/>
        <v>54644.157967709623</v>
      </c>
    </row>
    <row r="186" spans="1:11" x14ac:dyDescent="0.2">
      <c r="A186" s="39">
        <v>5.9</v>
      </c>
      <c r="B186" s="44">
        <v>2700</v>
      </c>
      <c r="C186" s="39">
        <v>70.400000000000006</v>
      </c>
      <c r="D186">
        <v>5.32025E-2</v>
      </c>
      <c r="G186">
        <f t="shared" si="13"/>
        <v>143.64675</v>
      </c>
      <c r="H186">
        <f t="shared" si="15"/>
        <v>415.36000000000007</v>
      </c>
      <c r="J186">
        <f t="shared" si="14"/>
        <v>181</v>
      </c>
      <c r="K186">
        <f t="shared" si="12"/>
        <v>55100.157821915513</v>
      </c>
    </row>
    <row r="187" spans="1:11" x14ac:dyDescent="0.2">
      <c r="A187" s="39">
        <v>5.9</v>
      </c>
      <c r="B187" s="44">
        <v>2700</v>
      </c>
      <c r="C187" s="39">
        <v>185</v>
      </c>
      <c r="D187">
        <v>5.32025E-2</v>
      </c>
      <c r="G187">
        <f t="shared" si="13"/>
        <v>143.64675</v>
      </c>
      <c r="H187">
        <f t="shared" si="15"/>
        <v>1091.5</v>
      </c>
      <c r="J187">
        <f t="shared" si="14"/>
        <v>182</v>
      </c>
      <c r="K187">
        <f t="shared" si="12"/>
        <v>55557.419090522868</v>
      </c>
    </row>
    <row r="188" spans="1:11" x14ac:dyDescent="0.2">
      <c r="A188" s="39">
        <v>5.9</v>
      </c>
      <c r="B188" s="44">
        <v>2690</v>
      </c>
      <c r="C188" s="39">
        <v>142</v>
      </c>
      <c r="D188">
        <v>5.655049999999999E-2</v>
      </c>
      <c r="G188">
        <f t="shared" si="13"/>
        <v>152.12084499999997</v>
      </c>
      <c r="H188">
        <f t="shared" si="15"/>
        <v>837.80000000000007</v>
      </c>
      <c r="J188">
        <f t="shared" si="14"/>
        <v>183</v>
      </c>
      <c r="K188">
        <f t="shared" si="12"/>
        <v>56015.938303307936</v>
      </c>
    </row>
    <row r="189" spans="1:11" x14ac:dyDescent="0.2">
      <c r="A189" s="39">
        <v>5.9</v>
      </c>
      <c r="B189" s="44">
        <v>2690</v>
      </c>
      <c r="C189" s="39">
        <v>133</v>
      </c>
      <c r="D189">
        <v>5.655049999999999E-2</v>
      </c>
      <c r="G189">
        <f t="shared" si="13"/>
        <v>152.12084499999997</v>
      </c>
      <c r="H189">
        <f t="shared" si="15"/>
        <v>784.7</v>
      </c>
      <c r="J189">
        <f t="shared" si="14"/>
        <v>184</v>
      </c>
      <c r="K189">
        <f t="shared" si="12"/>
        <v>56475.712018530525</v>
      </c>
    </row>
    <row r="190" spans="1:11" x14ac:dyDescent="0.2">
      <c r="A190" s="39">
        <v>5.9</v>
      </c>
      <c r="B190" s="44">
        <v>2690</v>
      </c>
      <c r="C190" s="39">
        <v>181</v>
      </c>
      <c r="D190">
        <v>5.655049999999999E-2</v>
      </c>
      <c r="G190">
        <f t="shared" si="13"/>
        <v>152.12084499999997</v>
      </c>
      <c r="H190">
        <f t="shared" si="15"/>
        <v>1067.9000000000001</v>
      </c>
      <c r="J190">
        <f t="shared" si="14"/>
        <v>185</v>
      </c>
      <c r="K190">
        <f t="shared" si="12"/>
        <v>56936.736822547195</v>
      </c>
    </row>
    <row r="191" spans="1:11" x14ac:dyDescent="0.2">
      <c r="A191" s="39">
        <v>5.9</v>
      </c>
      <c r="B191" s="44">
        <v>2690</v>
      </c>
      <c r="C191" s="39">
        <v>290.5</v>
      </c>
      <c r="D191">
        <v>5.655049999999999E-2</v>
      </c>
      <c r="G191">
        <f t="shared" si="13"/>
        <v>152.12084499999997</v>
      </c>
      <c r="H191">
        <f t="shared" si="15"/>
        <v>1713.95</v>
      </c>
      <c r="J191">
        <f t="shared" si="14"/>
        <v>186</v>
      </c>
      <c r="K191">
        <f t="shared" si="12"/>
        <v>57399.009329430024</v>
      </c>
    </row>
    <row r="192" spans="1:11" x14ac:dyDescent="0.2">
      <c r="A192" s="39">
        <v>5.9</v>
      </c>
      <c r="B192" s="44">
        <v>2700</v>
      </c>
      <c r="C192" s="39">
        <v>65</v>
      </c>
      <c r="D192">
        <v>3.2460249999999996E-2</v>
      </c>
      <c r="G192">
        <f t="shared" si="13"/>
        <v>87.642674999999983</v>
      </c>
      <c r="H192">
        <f t="shared" si="15"/>
        <v>383.5</v>
      </c>
      <c r="J192">
        <f t="shared" si="14"/>
        <v>187</v>
      </c>
      <c r="K192">
        <f t="shared" si="12"/>
        <v>57862.526180594599</v>
      </c>
    </row>
    <row r="193" spans="1:11" x14ac:dyDescent="0.2">
      <c r="A193" s="39">
        <v>5.9</v>
      </c>
      <c r="B193" s="44">
        <v>2700</v>
      </c>
      <c r="C193" s="39">
        <v>162.5</v>
      </c>
      <c r="D193">
        <v>3.2460249999999996E-2</v>
      </c>
      <c r="G193">
        <f t="shared" si="13"/>
        <v>87.642674999999983</v>
      </c>
      <c r="H193">
        <f t="shared" si="15"/>
        <v>958.75000000000011</v>
      </c>
      <c r="J193">
        <f t="shared" si="14"/>
        <v>188</v>
      </c>
      <c r="K193">
        <f t="shared" si="12"/>
        <v>58327.28404443332</v>
      </c>
    </row>
    <row r="194" spans="1:11" x14ac:dyDescent="0.2">
      <c r="A194" s="39">
        <v>5.9</v>
      </c>
      <c r="B194" s="44">
        <v>2710</v>
      </c>
      <c r="C194" s="39">
        <v>100.3</v>
      </c>
      <c r="D194">
        <v>6.2019350000000001E-2</v>
      </c>
      <c r="G194">
        <f t="shared" si="13"/>
        <v>168.0724385</v>
      </c>
      <c r="H194">
        <f t="shared" si="15"/>
        <v>591.77</v>
      </c>
      <c r="J194">
        <f t="shared" si="14"/>
        <v>189</v>
      </c>
      <c r="K194">
        <f t="shared" si="12"/>
        <v>58793.279615956046</v>
      </c>
    </row>
    <row r="195" spans="1:11" x14ac:dyDescent="0.2">
      <c r="A195" s="39">
        <v>5.9</v>
      </c>
      <c r="B195" s="44">
        <v>2710</v>
      </c>
      <c r="C195" s="39">
        <v>100.3</v>
      </c>
      <c r="D195">
        <v>6.2019350000000001E-2</v>
      </c>
      <c r="G195">
        <f t="shared" si="13"/>
        <v>168.0724385</v>
      </c>
      <c r="H195">
        <f t="shared" si="15"/>
        <v>591.77</v>
      </c>
      <c r="J195">
        <f t="shared" si="14"/>
        <v>190</v>
      </c>
      <c r="K195">
        <f t="shared" si="12"/>
        <v>59260.509616438496</v>
      </c>
    </row>
    <row r="196" spans="1:11" x14ac:dyDescent="0.2">
      <c r="A196" s="39">
        <v>5.9</v>
      </c>
      <c r="B196" s="44">
        <v>2710</v>
      </c>
      <c r="C196" s="39">
        <v>119</v>
      </c>
      <c r="D196">
        <v>6.2019350000000001E-2</v>
      </c>
      <c r="G196">
        <f t="shared" si="13"/>
        <v>168.0724385</v>
      </c>
      <c r="H196">
        <f t="shared" si="15"/>
        <v>702.1</v>
      </c>
      <c r="J196">
        <f t="shared" si="14"/>
        <v>191</v>
      </c>
      <c r="K196">
        <f t="shared" si="12"/>
        <v>59728.970793074972</v>
      </c>
    </row>
    <row r="197" spans="1:11" x14ac:dyDescent="0.2">
      <c r="A197" s="39">
        <v>5.9</v>
      </c>
      <c r="B197" s="44">
        <v>2710</v>
      </c>
      <c r="C197" s="39">
        <v>260</v>
      </c>
      <c r="D197">
        <v>6.2019350000000001E-2</v>
      </c>
      <c r="G197">
        <f t="shared" si="13"/>
        <v>168.0724385</v>
      </c>
      <c r="H197">
        <f t="shared" si="15"/>
        <v>1534</v>
      </c>
      <c r="J197">
        <f t="shared" si="14"/>
        <v>192</v>
      </c>
      <c r="K197">
        <f t="shared" si="12"/>
        <v>60198.659918639401</v>
      </c>
    </row>
    <row r="198" spans="1:11" x14ac:dyDescent="0.2">
      <c r="A198" s="39">
        <v>5.9</v>
      </c>
      <c r="B198" s="44">
        <v>2710</v>
      </c>
      <c r="C198" s="39">
        <v>253.5</v>
      </c>
      <c r="D198">
        <v>6.2019350000000001E-2</v>
      </c>
      <c r="G198">
        <f t="shared" si="13"/>
        <v>168.0724385</v>
      </c>
      <c r="H198">
        <f t="shared" si="15"/>
        <v>1495.65</v>
      </c>
      <c r="J198">
        <f t="shared" si="14"/>
        <v>193</v>
      </c>
      <c r="K198">
        <f t="shared" si="12"/>
        <v>60669.573791151721</v>
      </c>
    </row>
    <row r="199" spans="1:11" x14ac:dyDescent="0.2">
      <c r="A199" s="39">
        <v>5.9</v>
      </c>
      <c r="B199" s="44">
        <v>2710</v>
      </c>
      <c r="C199" s="39">
        <v>261</v>
      </c>
      <c r="D199">
        <v>6.2019350000000001E-2</v>
      </c>
      <c r="G199">
        <f t="shared" si="13"/>
        <v>168.0724385</v>
      </c>
      <c r="H199">
        <f t="shared" si="15"/>
        <v>1539.9</v>
      </c>
      <c r="J199">
        <f t="shared" si="14"/>
        <v>194</v>
      </c>
      <c r="K199">
        <f t="shared" ref="K199:K262" si="16">(8*J199)^(3/2)</f>
        <v>61141.709233550253</v>
      </c>
    </row>
    <row r="200" spans="1:11" x14ac:dyDescent="0.2">
      <c r="A200" s="39">
        <v>5.9</v>
      </c>
      <c r="B200" s="44">
        <v>2710</v>
      </c>
      <c r="C200" s="39">
        <v>261</v>
      </c>
      <c r="D200">
        <v>6.2019350000000001E-2</v>
      </c>
      <c r="G200">
        <f t="shared" ref="G200:G263" si="17">B200*D200</f>
        <v>168.0724385</v>
      </c>
      <c r="H200">
        <f t="shared" si="15"/>
        <v>1539.9</v>
      </c>
      <c r="J200">
        <f t="shared" ref="J200:J263" si="18">J199+1</f>
        <v>195</v>
      </c>
      <c r="K200">
        <f t="shared" si="16"/>
        <v>61615.063093370358</v>
      </c>
    </row>
    <row r="201" spans="1:11" x14ac:dyDescent="0.2">
      <c r="A201" s="39">
        <v>5.9</v>
      </c>
      <c r="B201" s="44">
        <v>2695</v>
      </c>
      <c r="C201" s="39">
        <v>50.15</v>
      </c>
      <c r="D201">
        <v>3.9820000000000001E-2</v>
      </c>
      <c r="G201">
        <f t="shared" si="17"/>
        <v>107.31490000000001</v>
      </c>
      <c r="H201">
        <f t="shared" si="15"/>
        <v>295.88499999999999</v>
      </c>
      <c r="J201">
        <f t="shared" si="18"/>
        <v>196</v>
      </c>
      <c r="K201">
        <f t="shared" si="16"/>
        <v>62089.632242428379</v>
      </c>
    </row>
    <row r="202" spans="1:11" x14ac:dyDescent="0.2">
      <c r="A202" s="39">
        <v>5.9</v>
      </c>
      <c r="B202" s="44">
        <v>2685</v>
      </c>
      <c r="C202" s="39">
        <v>65</v>
      </c>
      <c r="D202">
        <v>3.9820000000000001E-2</v>
      </c>
      <c r="G202">
        <f t="shared" si="17"/>
        <v>106.91670000000001</v>
      </c>
      <c r="H202">
        <f t="shared" si="15"/>
        <v>383.5</v>
      </c>
      <c r="J202">
        <f t="shared" si="18"/>
        <v>197</v>
      </c>
      <c r="K202">
        <f t="shared" si="16"/>
        <v>62565.413576512059</v>
      </c>
    </row>
    <row r="203" spans="1:11" x14ac:dyDescent="0.2">
      <c r="A203" s="39">
        <v>5.9</v>
      </c>
      <c r="B203" s="44">
        <v>2695</v>
      </c>
      <c r="C203" s="39">
        <v>75.8</v>
      </c>
      <c r="D203">
        <v>3.9820000000000001E-2</v>
      </c>
      <c r="G203">
        <f t="shared" si="17"/>
        <v>107.31490000000001</v>
      </c>
      <c r="H203">
        <f t="shared" si="15"/>
        <v>447.22</v>
      </c>
      <c r="J203">
        <f t="shared" si="18"/>
        <v>198</v>
      </c>
      <c r="K203">
        <f t="shared" si="16"/>
        <v>63042.40401507543</v>
      </c>
    </row>
    <row r="204" spans="1:11" x14ac:dyDescent="0.2">
      <c r="A204" s="39">
        <v>5.9</v>
      </c>
      <c r="B204" s="44">
        <v>2685</v>
      </c>
      <c r="C204" s="39">
        <v>119</v>
      </c>
      <c r="D204">
        <v>3.9820000000000001E-2</v>
      </c>
      <c r="G204">
        <f t="shared" si="17"/>
        <v>106.91670000000001</v>
      </c>
      <c r="H204">
        <f t="shared" si="15"/>
        <v>702.1</v>
      </c>
      <c r="J204">
        <f t="shared" si="18"/>
        <v>199</v>
      </c>
      <c r="K204">
        <f t="shared" si="16"/>
        <v>63520.600500939865</v>
      </c>
    </row>
    <row r="205" spans="1:11" x14ac:dyDescent="0.2">
      <c r="A205" s="39">
        <v>5.9</v>
      </c>
      <c r="B205" s="44">
        <v>2685</v>
      </c>
      <c r="C205" s="39">
        <v>184</v>
      </c>
      <c r="D205">
        <v>3.9820000000000001E-2</v>
      </c>
      <c r="G205">
        <f t="shared" si="17"/>
        <v>106.91670000000001</v>
      </c>
      <c r="H205">
        <f t="shared" si="15"/>
        <v>1085.6000000000001</v>
      </c>
      <c r="J205">
        <f t="shared" si="18"/>
        <v>200</v>
      </c>
      <c r="K205">
        <f t="shared" si="16"/>
        <v>64000.000000000022</v>
      </c>
    </row>
    <row r="206" spans="1:11" x14ac:dyDescent="0.2">
      <c r="A206" s="39">
        <v>5.9</v>
      </c>
      <c r="B206" s="44">
        <v>2695</v>
      </c>
      <c r="C206" s="39">
        <v>240.5</v>
      </c>
      <c r="D206">
        <v>3.9820000000000001E-2</v>
      </c>
      <c r="G206">
        <f t="shared" si="17"/>
        <v>107.31490000000001</v>
      </c>
      <c r="H206">
        <f t="shared" si="15"/>
        <v>1418.95</v>
      </c>
      <c r="J206">
        <f t="shared" si="18"/>
        <v>201</v>
      </c>
      <c r="K206">
        <f t="shared" si="16"/>
        <v>64480.599500935241</v>
      </c>
    </row>
    <row r="207" spans="1:11" x14ac:dyDescent="0.2">
      <c r="A207" s="39">
        <v>5.9</v>
      </c>
      <c r="B207" s="44">
        <v>2685</v>
      </c>
      <c r="C207" s="39">
        <v>241</v>
      </c>
      <c r="D207">
        <v>3.9820000000000001E-2</v>
      </c>
      <c r="G207">
        <f t="shared" si="17"/>
        <v>106.91670000000001</v>
      </c>
      <c r="H207">
        <f t="shared" si="15"/>
        <v>1421.9</v>
      </c>
      <c r="J207">
        <f t="shared" si="18"/>
        <v>202</v>
      </c>
      <c r="K207">
        <f t="shared" si="16"/>
        <v>64962.396014925405</v>
      </c>
    </row>
    <row r="208" spans="1:11" x14ac:dyDescent="0.2">
      <c r="A208" s="39">
        <v>5.9</v>
      </c>
      <c r="B208" s="44">
        <v>2685</v>
      </c>
      <c r="C208" s="39">
        <v>186</v>
      </c>
      <c r="D208">
        <v>3.9820000000000001E-2</v>
      </c>
      <c r="G208">
        <f t="shared" si="17"/>
        <v>106.91670000000001</v>
      </c>
      <c r="H208">
        <f t="shared" si="15"/>
        <v>1097.4000000000001</v>
      </c>
      <c r="J208">
        <f t="shared" si="18"/>
        <v>203</v>
      </c>
      <c r="K208">
        <f t="shared" si="16"/>
        <v>65445.386575372882</v>
      </c>
    </row>
    <row r="209" spans="1:11" x14ac:dyDescent="0.2">
      <c r="A209" s="39">
        <v>5.9</v>
      </c>
      <c r="B209" s="44">
        <v>2685</v>
      </c>
      <c r="C209" s="39">
        <v>269</v>
      </c>
      <c r="D209">
        <v>3.9820000000000001E-2</v>
      </c>
      <c r="G209">
        <f t="shared" si="17"/>
        <v>106.91670000000001</v>
      </c>
      <c r="H209">
        <f t="shared" si="15"/>
        <v>1587.1000000000001</v>
      </c>
      <c r="J209">
        <f t="shared" si="18"/>
        <v>204</v>
      </c>
      <c r="K209">
        <f t="shared" si="16"/>
        <v>65929.568237627667</v>
      </c>
    </row>
    <row r="210" spans="1:11" x14ac:dyDescent="0.2">
      <c r="A210" s="39">
        <v>5.9</v>
      </c>
      <c r="B210" s="44">
        <v>2800</v>
      </c>
      <c r="C210" s="39">
        <v>325</v>
      </c>
      <c r="D210">
        <v>8.3531000000000008E-2</v>
      </c>
      <c r="G210">
        <f t="shared" si="17"/>
        <v>233.88680000000002</v>
      </c>
      <c r="H210">
        <f t="shared" si="15"/>
        <v>1917.5000000000002</v>
      </c>
      <c r="J210">
        <f t="shared" si="18"/>
        <v>205</v>
      </c>
      <c r="K210">
        <f t="shared" si="16"/>
        <v>66414.938078718405</v>
      </c>
    </row>
    <row r="211" spans="1:11" x14ac:dyDescent="0.2">
      <c r="A211" s="39">
        <v>5.9</v>
      </c>
      <c r="B211" s="44">
        <v>2700</v>
      </c>
      <c r="C211" s="39">
        <v>336</v>
      </c>
      <c r="D211">
        <v>7.3326000000000002E-2</v>
      </c>
      <c r="G211">
        <f t="shared" si="17"/>
        <v>197.9802</v>
      </c>
      <c r="H211">
        <f t="shared" si="15"/>
        <v>1982.4</v>
      </c>
      <c r="J211">
        <f t="shared" si="18"/>
        <v>206</v>
      </c>
      <c r="K211">
        <f t="shared" si="16"/>
        <v>66901.493197087955</v>
      </c>
    </row>
    <row r="212" spans="1:11" x14ac:dyDescent="0.2">
      <c r="A212" s="39">
        <v>5.9</v>
      </c>
      <c r="B212" s="44">
        <v>2700</v>
      </c>
      <c r="C212" s="39">
        <v>124.5</v>
      </c>
      <c r="D212">
        <v>6.7404249999999999E-2</v>
      </c>
      <c r="G212">
        <f t="shared" si="17"/>
        <v>181.99147500000001</v>
      </c>
      <c r="H212">
        <f t="shared" si="15"/>
        <v>734.55000000000007</v>
      </c>
      <c r="J212">
        <f t="shared" si="18"/>
        <v>207</v>
      </c>
      <c r="K212">
        <f t="shared" si="16"/>
        <v>67389.230712332632</v>
      </c>
    </row>
    <row r="213" spans="1:11" x14ac:dyDescent="0.2">
      <c r="A213" s="39">
        <v>5.9</v>
      </c>
      <c r="B213" s="44">
        <v>2710</v>
      </c>
      <c r="C213" s="39">
        <v>276</v>
      </c>
      <c r="D213">
        <v>5.6319999999999995E-2</v>
      </c>
      <c r="G213">
        <f t="shared" si="17"/>
        <v>152.62719999999999</v>
      </c>
      <c r="H213">
        <f t="shared" si="15"/>
        <v>1628.4</v>
      </c>
      <c r="J213">
        <f t="shared" si="18"/>
        <v>208</v>
      </c>
      <c r="K213">
        <f t="shared" si="16"/>
        <v>67878.147764947236</v>
      </c>
    </row>
    <row r="214" spans="1:11" x14ac:dyDescent="0.2">
      <c r="A214" s="39">
        <v>5.9</v>
      </c>
      <c r="B214" s="44">
        <v>2710</v>
      </c>
      <c r="C214" s="39">
        <v>260</v>
      </c>
      <c r="D214">
        <v>8.1752349999999988E-2</v>
      </c>
      <c r="G214">
        <f t="shared" si="17"/>
        <v>221.54886849999997</v>
      </c>
      <c r="H214">
        <f t="shared" si="15"/>
        <v>1534</v>
      </c>
      <c r="J214">
        <f t="shared" si="18"/>
        <v>209</v>
      </c>
      <c r="K214">
        <f t="shared" si="16"/>
        <v>68368.241516072318</v>
      </c>
    </row>
    <row r="215" spans="1:11" x14ac:dyDescent="0.2">
      <c r="A215" s="39">
        <v>5.9</v>
      </c>
      <c r="B215" s="44">
        <v>2710</v>
      </c>
      <c r="C215" s="39">
        <v>336</v>
      </c>
      <c r="D215">
        <v>8.1752349999999988E-2</v>
      </c>
      <c r="G215">
        <f t="shared" si="17"/>
        <v>221.54886849999997</v>
      </c>
      <c r="H215">
        <f t="shared" si="15"/>
        <v>1982.4</v>
      </c>
      <c r="J215">
        <f t="shared" si="18"/>
        <v>210</v>
      </c>
      <c r="K215">
        <f t="shared" si="16"/>
        <v>68859.509147248536</v>
      </c>
    </row>
    <row r="216" spans="1:11" x14ac:dyDescent="0.2">
      <c r="A216" s="39">
        <v>5.9</v>
      </c>
      <c r="B216" s="44">
        <v>2825</v>
      </c>
      <c r="C216" s="39">
        <v>393</v>
      </c>
      <c r="D216">
        <v>9.8591499999999999E-2</v>
      </c>
      <c r="G216">
        <f t="shared" si="17"/>
        <v>278.52098749999999</v>
      </c>
      <c r="H216">
        <f t="shared" si="15"/>
        <v>2318.7000000000003</v>
      </c>
      <c r="J216">
        <f t="shared" si="18"/>
        <v>211</v>
      </c>
      <c r="K216">
        <f t="shared" si="16"/>
        <v>69351.94786017196</v>
      </c>
    </row>
    <row r="217" spans="1:11" x14ac:dyDescent="0.2">
      <c r="A217" s="39">
        <v>5.9</v>
      </c>
      <c r="B217" s="44">
        <v>2825</v>
      </c>
      <c r="C217" s="39">
        <v>410</v>
      </c>
      <c r="D217">
        <v>9.8591499999999999E-2</v>
      </c>
      <c r="G217">
        <f t="shared" si="17"/>
        <v>278.52098749999999</v>
      </c>
      <c r="H217">
        <f t="shared" si="15"/>
        <v>2419</v>
      </c>
      <c r="J217">
        <f t="shared" si="18"/>
        <v>212</v>
      </c>
      <c r="K217">
        <f t="shared" si="16"/>
        <v>69845.55487645579</v>
      </c>
    </row>
    <row r="218" spans="1:11" x14ac:dyDescent="0.2">
      <c r="A218" s="39">
        <v>5.9</v>
      </c>
      <c r="B218" s="44">
        <v>2780</v>
      </c>
      <c r="C218" s="39">
        <v>315</v>
      </c>
      <c r="D218">
        <v>5.9089499999999996E-2</v>
      </c>
      <c r="G218">
        <f t="shared" si="17"/>
        <v>164.26881</v>
      </c>
      <c r="H218">
        <f t="shared" si="15"/>
        <v>1858.5</v>
      </c>
      <c r="J218">
        <f t="shared" si="18"/>
        <v>213</v>
      </c>
      <c r="K218">
        <f t="shared" si="16"/>
        <v>70340.327437395405</v>
      </c>
    </row>
    <row r="219" spans="1:11" x14ac:dyDescent="0.2">
      <c r="A219" s="39">
        <v>5.9</v>
      </c>
      <c r="B219" s="44">
        <v>2780</v>
      </c>
      <c r="C219" s="39">
        <v>335</v>
      </c>
      <c r="D219">
        <v>5.9089499999999996E-2</v>
      </c>
      <c r="G219">
        <f t="shared" si="17"/>
        <v>164.26881</v>
      </c>
      <c r="H219">
        <f t="shared" si="15"/>
        <v>1976.5000000000002</v>
      </c>
      <c r="J219">
        <f t="shared" si="18"/>
        <v>214</v>
      </c>
      <c r="K219">
        <f t="shared" si="16"/>
        <v>70836.262803736303</v>
      </c>
    </row>
    <row r="220" spans="1:11" x14ac:dyDescent="0.2">
      <c r="A220" s="39">
        <v>5.9</v>
      </c>
      <c r="B220" s="44">
        <v>2830</v>
      </c>
      <c r="C220" s="39">
        <v>402.5</v>
      </c>
      <c r="D220">
        <v>8.5535099999999975E-2</v>
      </c>
      <c r="G220">
        <f t="shared" si="17"/>
        <v>242.06433299999992</v>
      </c>
      <c r="H220">
        <f t="shared" si="15"/>
        <v>2374.75</v>
      </c>
      <c r="J220">
        <f t="shared" si="18"/>
        <v>215</v>
      </c>
      <c r="K220">
        <f t="shared" si="16"/>
        <v>71333.358255447325</v>
      </c>
    </row>
    <row r="221" spans="1:11" x14ac:dyDescent="0.2">
      <c r="A221" s="39">
        <v>5.9</v>
      </c>
      <c r="B221" s="44">
        <v>2855</v>
      </c>
      <c r="C221" s="39">
        <v>410</v>
      </c>
      <c r="D221">
        <v>0.10721055</v>
      </c>
      <c r="G221">
        <f t="shared" si="17"/>
        <v>306.08612025000002</v>
      </c>
      <c r="H221">
        <f t="shared" si="15"/>
        <v>2419</v>
      </c>
      <c r="J221">
        <f t="shared" si="18"/>
        <v>216</v>
      </c>
      <c r="K221">
        <f t="shared" si="16"/>
        <v>71831.611091496408</v>
      </c>
    </row>
    <row r="222" spans="1:11" x14ac:dyDescent="0.2">
      <c r="A222" s="39">
        <v>5.9</v>
      </c>
      <c r="B222" s="44">
        <v>2855</v>
      </c>
      <c r="C222" s="39">
        <v>410</v>
      </c>
      <c r="D222">
        <v>0.10721055</v>
      </c>
      <c r="G222">
        <f t="shared" si="17"/>
        <v>306.08612025000002</v>
      </c>
      <c r="H222">
        <f t="shared" si="15"/>
        <v>2419</v>
      </c>
      <c r="J222">
        <f t="shared" si="18"/>
        <v>217</v>
      </c>
      <c r="K222">
        <f t="shared" si="16"/>
        <v>72331.018629630897</v>
      </c>
    </row>
    <row r="223" spans="1:11" x14ac:dyDescent="0.2">
      <c r="A223" s="39">
        <v>5.9</v>
      </c>
      <c r="B223" s="44">
        <v>2855</v>
      </c>
      <c r="C223" s="39">
        <v>421</v>
      </c>
      <c r="D223">
        <v>0.10721055</v>
      </c>
      <c r="G223">
        <f t="shared" si="17"/>
        <v>306.08612025000002</v>
      </c>
      <c r="H223">
        <f t="shared" si="15"/>
        <v>2483.9</v>
      </c>
      <c r="J223">
        <f t="shared" si="18"/>
        <v>218</v>
      </c>
      <c r="K223">
        <f t="shared" si="16"/>
        <v>72831.578206159946</v>
      </c>
    </row>
    <row r="224" spans="1:11" x14ac:dyDescent="0.2">
      <c r="A224" s="39">
        <v>5.9</v>
      </c>
      <c r="B224" s="44">
        <v>2825</v>
      </c>
      <c r="C224" s="39">
        <v>386.5</v>
      </c>
      <c r="D224">
        <v>9.3976599999999993E-2</v>
      </c>
      <c r="G224">
        <f t="shared" si="17"/>
        <v>265.48389499999996</v>
      </c>
      <c r="H224">
        <f t="shared" si="15"/>
        <v>2280.3500000000004</v>
      </c>
      <c r="J224">
        <f t="shared" si="18"/>
        <v>219</v>
      </c>
      <c r="K224">
        <f t="shared" si="16"/>
        <v>73333.287175743055</v>
      </c>
    </row>
    <row r="225" spans="1:11" x14ac:dyDescent="0.2">
      <c r="A225" s="39">
        <v>5.9</v>
      </c>
      <c r="B225" s="44">
        <v>2825</v>
      </c>
      <c r="C225" s="39">
        <v>399.5</v>
      </c>
      <c r="D225">
        <v>9.3976599999999993E-2</v>
      </c>
      <c r="G225">
        <f t="shared" si="17"/>
        <v>265.48389499999996</v>
      </c>
      <c r="H225">
        <f t="shared" si="15"/>
        <v>2357.0500000000002</v>
      </c>
      <c r="J225">
        <f t="shared" si="18"/>
        <v>220</v>
      </c>
      <c r="K225">
        <f t="shared" si="16"/>
        <v>73836.142911178642</v>
      </c>
    </row>
    <row r="226" spans="1:11" x14ac:dyDescent="0.2">
      <c r="A226" s="39">
        <v>5.9</v>
      </c>
      <c r="B226" s="44">
        <v>2825</v>
      </c>
      <c r="C226" s="39">
        <v>427.5</v>
      </c>
      <c r="D226">
        <v>9.3976599999999993E-2</v>
      </c>
      <c r="G226">
        <f t="shared" si="17"/>
        <v>265.48389499999996</v>
      </c>
      <c r="H226">
        <f t="shared" si="15"/>
        <v>2522.25</v>
      </c>
      <c r="J226">
        <f t="shared" si="18"/>
        <v>221</v>
      </c>
      <c r="K226">
        <f t="shared" si="16"/>
        <v>74340.142803198818</v>
      </c>
    </row>
    <row r="227" spans="1:11" x14ac:dyDescent="0.2">
      <c r="A227" s="39">
        <v>5.9</v>
      </c>
      <c r="B227" s="44">
        <v>2825</v>
      </c>
      <c r="C227" s="39">
        <v>403</v>
      </c>
      <c r="D227">
        <v>9.3976599999999993E-2</v>
      </c>
      <c r="G227">
        <f t="shared" si="17"/>
        <v>265.48389499999996</v>
      </c>
      <c r="H227">
        <f t="shared" si="15"/>
        <v>2377.7000000000003</v>
      </c>
      <c r="J227">
        <f t="shared" si="18"/>
        <v>222</v>
      </c>
      <c r="K227">
        <f t="shared" si="16"/>
        <v>74845.284260265908</v>
      </c>
    </row>
    <row r="228" spans="1:11" x14ac:dyDescent="0.2">
      <c r="A228" s="39">
        <v>5.9</v>
      </c>
      <c r="B228" s="44">
        <v>2825</v>
      </c>
      <c r="C228" s="39">
        <v>389.5</v>
      </c>
      <c r="D228">
        <v>9.3976599999999993E-2</v>
      </c>
      <c r="G228">
        <f t="shared" si="17"/>
        <v>265.48389499999996</v>
      </c>
      <c r="H228">
        <f t="shared" si="15"/>
        <v>2298.0500000000002</v>
      </c>
      <c r="J228">
        <f t="shared" si="18"/>
        <v>223</v>
      </c>
      <c r="K228">
        <f t="shared" si="16"/>
        <v>75351.564708372214</v>
      </c>
    </row>
    <row r="229" spans="1:11" x14ac:dyDescent="0.2">
      <c r="A229" s="39">
        <v>5.9</v>
      </c>
      <c r="B229" s="44">
        <v>2825</v>
      </c>
      <c r="C229" s="39">
        <v>448.5</v>
      </c>
      <c r="D229">
        <v>9.3976599999999993E-2</v>
      </c>
      <c r="G229">
        <f t="shared" si="17"/>
        <v>265.48389499999996</v>
      </c>
      <c r="H229">
        <f t="shared" si="15"/>
        <v>2646.15</v>
      </c>
      <c r="J229">
        <f t="shared" si="18"/>
        <v>224</v>
      </c>
      <c r="K229">
        <f t="shared" si="16"/>
        <v>75858.981590843978</v>
      </c>
    </row>
    <row r="230" spans="1:11" x14ac:dyDescent="0.2">
      <c r="A230" s="39">
        <v>5.9</v>
      </c>
      <c r="B230" s="44">
        <v>2825</v>
      </c>
      <c r="C230" s="39">
        <v>448.5</v>
      </c>
      <c r="D230">
        <v>9.3976599999999993E-2</v>
      </c>
      <c r="G230">
        <f t="shared" si="17"/>
        <v>265.48389499999996</v>
      </c>
      <c r="H230">
        <f t="shared" si="15"/>
        <v>2646.15</v>
      </c>
      <c r="J230">
        <f t="shared" si="18"/>
        <v>225</v>
      </c>
      <c r="K230">
        <f t="shared" si="16"/>
        <v>76367.532368147193</v>
      </c>
    </row>
    <row r="231" spans="1:11" x14ac:dyDescent="0.2">
      <c r="A231" s="39">
        <v>5.9</v>
      </c>
      <c r="B231" s="44">
        <v>2880</v>
      </c>
      <c r="C231" s="39">
        <v>583.5</v>
      </c>
      <c r="D231">
        <v>8.5535099999999975E-2</v>
      </c>
      <c r="G231">
        <f t="shared" si="17"/>
        <v>246.34108799999993</v>
      </c>
      <c r="H231">
        <f t="shared" si="15"/>
        <v>3442.65</v>
      </c>
      <c r="J231">
        <f t="shared" si="18"/>
        <v>226</v>
      </c>
      <c r="K231">
        <f t="shared" si="16"/>
        <v>76877.214517696921</v>
      </c>
    </row>
    <row r="232" spans="1:11" x14ac:dyDescent="0.2">
      <c r="A232" s="39">
        <v>5.9</v>
      </c>
      <c r="B232" s="44">
        <v>2880</v>
      </c>
      <c r="C232" s="39">
        <v>584.5</v>
      </c>
      <c r="D232">
        <v>8.5535099999999975E-2</v>
      </c>
      <c r="G232">
        <f t="shared" si="17"/>
        <v>246.34108799999993</v>
      </c>
      <c r="H232">
        <f t="shared" si="15"/>
        <v>3448.55</v>
      </c>
      <c r="J232">
        <f t="shared" si="18"/>
        <v>227</v>
      </c>
      <c r="K232">
        <f t="shared" si="16"/>
        <v>77388.02553367021</v>
      </c>
    </row>
    <row r="233" spans="1:11" x14ac:dyDescent="0.2">
      <c r="A233" s="39">
        <v>5.9</v>
      </c>
      <c r="B233" s="44">
        <v>2795</v>
      </c>
      <c r="C233" s="39">
        <v>424</v>
      </c>
      <c r="D233">
        <v>0.11296590000000001</v>
      </c>
      <c r="G233">
        <f t="shared" si="17"/>
        <v>315.73969049999999</v>
      </c>
      <c r="H233">
        <f t="shared" si="15"/>
        <v>2501.6000000000004</v>
      </c>
      <c r="J233">
        <f t="shared" si="18"/>
        <v>228</v>
      </c>
      <c r="K233">
        <f t="shared" si="16"/>
        <v>77899.962926820343</v>
      </c>
    </row>
    <row r="234" spans="1:11" x14ac:dyDescent="0.2">
      <c r="A234" s="39">
        <v>5.9</v>
      </c>
      <c r="B234" s="44">
        <v>2795</v>
      </c>
      <c r="C234" s="39">
        <v>444.5</v>
      </c>
      <c r="D234">
        <v>0.11296590000000001</v>
      </c>
      <c r="G234">
        <f t="shared" si="17"/>
        <v>315.73969049999999</v>
      </c>
      <c r="H234">
        <f t="shared" si="15"/>
        <v>2622.55</v>
      </c>
      <c r="J234">
        <f t="shared" si="18"/>
        <v>229</v>
      </c>
      <c r="K234">
        <f t="shared" si="16"/>
        <v>78413.024224295761</v>
      </c>
    </row>
    <row r="235" spans="1:11" x14ac:dyDescent="0.2">
      <c r="A235" s="39">
        <v>5.9</v>
      </c>
      <c r="B235" s="44">
        <v>2795</v>
      </c>
      <c r="C235" s="39">
        <v>424</v>
      </c>
      <c r="D235">
        <v>0.11296590000000001</v>
      </c>
      <c r="G235">
        <f t="shared" si="17"/>
        <v>315.73969049999999</v>
      </c>
      <c r="H235">
        <f t="shared" si="15"/>
        <v>2501.6000000000004</v>
      </c>
      <c r="J235">
        <f t="shared" si="18"/>
        <v>230</v>
      </c>
      <c r="K235">
        <f t="shared" si="16"/>
        <v>78927.206969460109</v>
      </c>
    </row>
    <row r="236" spans="1:11" x14ac:dyDescent="0.2">
      <c r="A236" s="39">
        <v>5.9</v>
      </c>
      <c r="B236" s="44">
        <v>2795</v>
      </c>
      <c r="C236" s="39">
        <v>420.5</v>
      </c>
      <c r="D236">
        <v>0.11296590000000001</v>
      </c>
      <c r="G236">
        <f t="shared" si="17"/>
        <v>315.73969049999999</v>
      </c>
      <c r="H236">
        <f t="shared" si="15"/>
        <v>2480.9500000000003</v>
      </c>
      <c r="J236">
        <f t="shared" si="18"/>
        <v>231</v>
      </c>
      <c r="K236">
        <f t="shared" si="16"/>
        <v>79442.508721716484</v>
      </c>
    </row>
    <row r="237" spans="1:11" x14ac:dyDescent="0.2">
      <c r="A237" s="39">
        <v>5.9</v>
      </c>
      <c r="B237" s="44">
        <v>2795</v>
      </c>
      <c r="C237" s="39">
        <v>417</v>
      </c>
      <c r="D237">
        <v>0.11296590000000001</v>
      </c>
      <c r="G237">
        <f t="shared" si="17"/>
        <v>315.73969049999999</v>
      </c>
      <c r="H237">
        <f t="shared" si="15"/>
        <v>2460.3000000000002</v>
      </c>
      <c r="J237">
        <f t="shared" si="18"/>
        <v>232</v>
      </c>
      <c r="K237">
        <f t="shared" si="16"/>
        <v>79958.927056333108</v>
      </c>
    </row>
    <row r="238" spans="1:11" x14ac:dyDescent="0.2">
      <c r="A238" s="39">
        <v>5.9</v>
      </c>
      <c r="B238" s="44">
        <v>2795</v>
      </c>
      <c r="C238" s="39">
        <v>375.5</v>
      </c>
      <c r="D238">
        <v>0.11296590000000001</v>
      </c>
      <c r="G238">
        <f t="shared" si="17"/>
        <v>315.73969049999999</v>
      </c>
      <c r="H238">
        <f t="shared" si="15"/>
        <v>2215.4500000000003</v>
      </c>
      <c r="J238">
        <f t="shared" si="18"/>
        <v>233</v>
      </c>
      <c r="K238">
        <f t="shared" si="16"/>
        <v>80476.459564272605</v>
      </c>
    </row>
    <row r="239" spans="1:11" x14ac:dyDescent="0.2">
      <c r="A239" s="39">
        <v>5.9</v>
      </c>
      <c r="B239" s="44">
        <v>2795</v>
      </c>
      <c r="C239" s="39">
        <v>362</v>
      </c>
      <c r="D239">
        <v>0.11296590000000001</v>
      </c>
      <c r="G239">
        <f t="shared" si="17"/>
        <v>315.73969049999999</v>
      </c>
      <c r="H239">
        <f t="shared" si="15"/>
        <v>2135.8000000000002</v>
      </c>
      <c r="J239">
        <f t="shared" si="18"/>
        <v>234</v>
      </c>
      <c r="K239">
        <f t="shared" si="16"/>
        <v>80995.10385202305</v>
      </c>
    </row>
    <row r="240" spans="1:11" x14ac:dyDescent="0.2">
      <c r="A240" s="39">
        <v>5.9</v>
      </c>
      <c r="B240" s="44">
        <v>2795</v>
      </c>
      <c r="C240" s="39">
        <v>355</v>
      </c>
      <c r="D240">
        <v>0.11296590000000001</v>
      </c>
      <c r="G240">
        <f t="shared" si="17"/>
        <v>315.73969049999999</v>
      </c>
      <c r="H240">
        <f t="shared" si="15"/>
        <v>2094.5</v>
      </c>
      <c r="J240">
        <f t="shared" si="18"/>
        <v>235</v>
      </c>
      <c r="K240">
        <f t="shared" si="16"/>
        <v>81514.857541432386</v>
      </c>
    </row>
    <row r="241" spans="1:11" x14ac:dyDescent="0.2">
      <c r="A241" s="39">
        <v>5.9</v>
      </c>
      <c r="B241" s="44">
        <v>2795</v>
      </c>
      <c r="C241" s="39">
        <v>424</v>
      </c>
      <c r="D241">
        <v>0.11296590000000001</v>
      </c>
      <c r="G241">
        <f t="shared" si="17"/>
        <v>315.73969049999999</v>
      </c>
      <c r="H241">
        <f t="shared" si="15"/>
        <v>2501.6000000000004</v>
      </c>
      <c r="J241">
        <f t="shared" si="18"/>
        <v>236</v>
      </c>
      <c r="K241">
        <f t="shared" si="16"/>
        <v>82035.718269543926</v>
      </c>
    </row>
    <row r="242" spans="1:11" x14ac:dyDescent="0.2">
      <c r="A242" s="39">
        <v>5.9</v>
      </c>
      <c r="B242" s="44">
        <v>2795</v>
      </c>
      <c r="C242" s="39">
        <v>406.5</v>
      </c>
      <c r="D242">
        <v>0.11296590000000001</v>
      </c>
      <c r="G242">
        <f t="shared" si="17"/>
        <v>315.73969049999999</v>
      </c>
      <c r="H242">
        <f t="shared" si="15"/>
        <v>2398.3500000000004</v>
      </c>
      <c r="J242">
        <f t="shared" si="18"/>
        <v>237</v>
      </c>
      <c r="K242">
        <f t="shared" si="16"/>
        <v>82557.683688436824</v>
      </c>
    </row>
    <row r="243" spans="1:11" x14ac:dyDescent="0.2">
      <c r="A243" s="39">
        <v>5.9</v>
      </c>
      <c r="B243" s="44">
        <v>2855</v>
      </c>
      <c r="C243" s="39">
        <v>410</v>
      </c>
      <c r="D243">
        <v>0.10582305</v>
      </c>
      <c r="G243">
        <f t="shared" si="17"/>
        <v>302.12480775</v>
      </c>
      <c r="H243">
        <f t="shared" si="15"/>
        <v>2419</v>
      </c>
      <c r="J243">
        <f t="shared" si="18"/>
        <v>238</v>
      </c>
      <c r="K243">
        <f t="shared" si="16"/>
        <v>83080.751465065638</v>
      </c>
    </row>
    <row r="244" spans="1:11" x14ac:dyDescent="0.2">
      <c r="A244" s="39">
        <v>5.9</v>
      </c>
      <c r="B244" s="44">
        <v>2855</v>
      </c>
      <c r="C244" s="39">
        <v>421</v>
      </c>
      <c r="D244">
        <v>0.10582305</v>
      </c>
      <c r="G244">
        <f t="shared" si="17"/>
        <v>302.12480775</v>
      </c>
      <c r="H244">
        <f t="shared" si="15"/>
        <v>2483.9</v>
      </c>
      <c r="J244">
        <f t="shared" si="18"/>
        <v>239</v>
      </c>
      <c r="K244">
        <f t="shared" si="16"/>
        <v>83604.919281104434</v>
      </c>
    </row>
    <row r="245" spans="1:11" x14ac:dyDescent="0.2">
      <c r="A245" s="39">
        <v>5.9</v>
      </c>
      <c r="B245" s="44">
        <v>2825</v>
      </c>
      <c r="C245" s="39">
        <v>551.5</v>
      </c>
      <c r="D245">
        <v>9.8474850000000003E-2</v>
      </c>
      <c r="G245">
        <f t="shared" si="17"/>
        <v>278.19145125</v>
      </c>
      <c r="H245">
        <f t="shared" si="15"/>
        <v>3253.8500000000004</v>
      </c>
      <c r="J245">
        <f t="shared" si="18"/>
        <v>240</v>
      </c>
      <c r="K245">
        <f t="shared" si="16"/>
        <v>84130.184832793573</v>
      </c>
    </row>
    <row r="246" spans="1:11" x14ac:dyDescent="0.2">
      <c r="A246" s="39">
        <v>5.9</v>
      </c>
      <c r="B246" s="44">
        <v>2825</v>
      </c>
      <c r="C246" s="39">
        <v>538</v>
      </c>
      <c r="D246">
        <v>9.8474850000000003E-2</v>
      </c>
      <c r="G246">
        <f t="shared" si="17"/>
        <v>278.19145125</v>
      </c>
      <c r="H246">
        <f t="shared" si="15"/>
        <v>3174.2000000000003</v>
      </c>
      <c r="J246">
        <f t="shared" si="18"/>
        <v>241</v>
      </c>
      <c r="K246">
        <f t="shared" si="16"/>
        <v>84656.545830786185</v>
      </c>
    </row>
    <row r="247" spans="1:11" x14ac:dyDescent="0.2">
      <c r="A247" s="39">
        <v>5.9</v>
      </c>
      <c r="B247" s="44">
        <v>2825</v>
      </c>
      <c r="C247" s="39">
        <v>500</v>
      </c>
      <c r="D247">
        <v>9.8474850000000003E-2</v>
      </c>
      <c r="G247">
        <f t="shared" si="17"/>
        <v>278.19145125</v>
      </c>
      <c r="H247">
        <f t="shared" si="15"/>
        <v>2950</v>
      </c>
      <c r="J247">
        <f t="shared" si="18"/>
        <v>242</v>
      </c>
      <c r="K247">
        <f t="shared" si="16"/>
        <v>85183.999999999927</v>
      </c>
    </row>
    <row r="248" spans="1:11" x14ac:dyDescent="0.2">
      <c r="A248" s="39">
        <v>5.9</v>
      </c>
      <c r="B248" s="44">
        <v>2825</v>
      </c>
      <c r="C248" s="39">
        <v>551.5</v>
      </c>
      <c r="D248">
        <v>9.8474850000000003E-2</v>
      </c>
      <c r="G248">
        <f t="shared" si="17"/>
        <v>278.19145125</v>
      </c>
      <c r="H248">
        <f t="shared" si="15"/>
        <v>3253.8500000000004</v>
      </c>
      <c r="J248">
        <f t="shared" si="18"/>
        <v>243</v>
      </c>
      <c r="K248">
        <f t="shared" si="16"/>
        <v>85712.545079468939</v>
      </c>
    </row>
    <row r="249" spans="1:11" x14ac:dyDescent="0.2">
      <c r="A249" s="39">
        <v>5.9</v>
      </c>
      <c r="B249" s="44">
        <v>2795</v>
      </c>
      <c r="C249" s="39">
        <v>489.5</v>
      </c>
      <c r="D249">
        <v>0.10949715000000002</v>
      </c>
      <c r="G249">
        <f t="shared" si="17"/>
        <v>306.04453425000003</v>
      </c>
      <c r="H249">
        <f t="shared" ref="H249:H263" si="19">A249*C249</f>
        <v>2888.05</v>
      </c>
      <c r="J249">
        <f t="shared" si="18"/>
        <v>244</v>
      </c>
      <c r="K249">
        <f t="shared" si="16"/>
        <v>86242.17882219817</v>
      </c>
    </row>
    <row r="250" spans="1:11" x14ac:dyDescent="0.2">
      <c r="A250" s="39">
        <v>5.9</v>
      </c>
      <c r="B250" s="44">
        <v>2795</v>
      </c>
      <c r="C250" s="39">
        <v>383</v>
      </c>
      <c r="D250">
        <v>0.10949715000000002</v>
      </c>
      <c r="G250">
        <f t="shared" si="17"/>
        <v>306.04453425000003</v>
      </c>
      <c r="H250">
        <f t="shared" si="19"/>
        <v>2259.7000000000003</v>
      </c>
      <c r="J250">
        <f t="shared" si="18"/>
        <v>245</v>
      </c>
      <c r="K250">
        <f t="shared" si="16"/>
        <v>86772.898995020383</v>
      </c>
    </row>
    <row r="251" spans="1:11" x14ac:dyDescent="0.2">
      <c r="A251" s="39">
        <v>5.9</v>
      </c>
      <c r="B251" s="44">
        <v>2795</v>
      </c>
      <c r="C251" s="39">
        <v>410.5</v>
      </c>
      <c r="D251">
        <v>0.10949715000000002</v>
      </c>
      <c r="G251">
        <f t="shared" si="17"/>
        <v>306.04453425000003</v>
      </c>
      <c r="H251">
        <f t="shared" si="19"/>
        <v>2421.9500000000003</v>
      </c>
      <c r="J251">
        <f t="shared" si="18"/>
        <v>246</v>
      </c>
      <c r="K251">
        <f t="shared" si="16"/>
        <v>87304.703378454957</v>
      </c>
    </row>
    <row r="252" spans="1:11" x14ac:dyDescent="0.2">
      <c r="A252" s="39">
        <v>5.9</v>
      </c>
      <c r="B252" s="44">
        <v>2795</v>
      </c>
      <c r="C252" s="39">
        <v>369</v>
      </c>
      <c r="D252">
        <v>0.10949715000000002</v>
      </c>
      <c r="G252">
        <f t="shared" si="17"/>
        <v>306.04453425000003</v>
      </c>
      <c r="H252">
        <f t="shared" si="19"/>
        <v>2177.1</v>
      </c>
      <c r="J252">
        <f t="shared" si="18"/>
        <v>247</v>
      </c>
      <c r="K252">
        <f t="shared" si="16"/>
        <v>87837.589766568562</v>
      </c>
    </row>
    <row r="253" spans="1:11" x14ac:dyDescent="0.2">
      <c r="A253" s="39">
        <v>5.9</v>
      </c>
      <c r="B253" s="44">
        <v>2800</v>
      </c>
      <c r="C253" s="39">
        <v>417</v>
      </c>
      <c r="D253">
        <v>9.4691000000000011E-2</v>
      </c>
      <c r="G253">
        <f t="shared" si="17"/>
        <v>265.13480000000004</v>
      </c>
      <c r="H253">
        <f t="shared" si="19"/>
        <v>2460.3000000000002</v>
      </c>
      <c r="J253">
        <f t="shared" si="18"/>
        <v>248</v>
      </c>
      <c r="K253">
        <f t="shared" si="16"/>
        <v>88371.555966838059</v>
      </c>
    </row>
    <row r="254" spans="1:11" x14ac:dyDescent="0.2">
      <c r="A254" s="39">
        <v>5.9</v>
      </c>
      <c r="B254" s="44">
        <v>2800</v>
      </c>
      <c r="C254" s="39">
        <v>529.5</v>
      </c>
      <c r="D254">
        <v>9.4691000000000011E-2</v>
      </c>
      <c r="G254">
        <f t="shared" si="17"/>
        <v>265.13480000000004</v>
      </c>
      <c r="H254">
        <f t="shared" si="19"/>
        <v>3124.05</v>
      </c>
      <c r="J254">
        <f t="shared" si="18"/>
        <v>249</v>
      </c>
      <c r="K254">
        <f t="shared" si="16"/>
        <v>88906.599800014767</v>
      </c>
    </row>
    <row r="255" spans="1:11" x14ac:dyDescent="0.2">
      <c r="A255" s="39">
        <v>5.9</v>
      </c>
      <c r="B255" s="44">
        <v>2795</v>
      </c>
      <c r="C255" s="39">
        <v>434.5</v>
      </c>
      <c r="D255">
        <v>9.8248450000000001E-2</v>
      </c>
      <c r="G255">
        <f t="shared" si="17"/>
        <v>274.60441774999998</v>
      </c>
      <c r="H255">
        <f t="shared" si="19"/>
        <v>2563.5500000000002</v>
      </c>
      <c r="J255">
        <f t="shared" si="18"/>
        <v>250</v>
      </c>
      <c r="K255">
        <f t="shared" si="16"/>
        <v>89442.719099991489</v>
      </c>
    </row>
    <row r="256" spans="1:11" x14ac:dyDescent="0.2">
      <c r="A256" s="39">
        <v>5.9</v>
      </c>
      <c r="B256" s="44">
        <v>2795</v>
      </c>
      <c r="C256" s="39">
        <v>486.5</v>
      </c>
      <c r="D256">
        <v>9.8248450000000001E-2</v>
      </c>
      <c r="G256">
        <f t="shared" si="17"/>
        <v>274.60441774999998</v>
      </c>
      <c r="H256">
        <f t="shared" si="19"/>
        <v>2870.3500000000004</v>
      </c>
      <c r="J256">
        <f t="shared" si="18"/>
        <v>251</v>
      </c>
      <c r="K256">
        <f t="shared" si="16"/>
        <v>89979.911713670823</v>
      </c>
    </row>
    <row r="257" spans="1:11" x14ac:dyDescent="0.2">
      <c r="A257" s="39">
        <v>5.9</v>
      </c>
      <c r="B257" s="44">
        <v>2795</v>
      </c>
      <c r="C257" s="39">
        <v>386</v>
      </c>
      <c r="D257">
        <v>9.8248450000000001E-2</v>
      </c>
      <c r="G257">
        <f t="shared" si="17"/>
        <v>274.60441774999998</v>
      </c>
      <c r="H257">
        <f t="shared" si="19"/>
        <v>2277.4</v>
      </c>
      <c r="J257">
        <f t="shared" si="18"/>
        <v>252</v>
      </c>
      <c r="K257">
        <f t="shared" si="16"/>
        <v>90518.175500835277</v>
      </c>
    </row>
    <row r="258" spans="1:11" x14ac:dyDescent="0.2">
      <c r="A258" s="39">
        <v>5.9</v>
      </c>
      <c r="B258" s="44">
        <v>2795</v>
      </c>
      <c r="C258" s="39">
        <v>406.5</v>
      </c>
      <c r="D258">
        <v>9.8248450000000001E-2</v>
      </c>
      <c r="G258">
        <f t="shared" si="17"/>
        <v>274.60441774999998</v>
      </c>
      <c r="H258">
        <f t="shared" si="19"/>
        <v>2398.3500000000004</v>
      </c>
      <c r="J258">
        <f t="shared" si="18"/>
        <v>253</v>
      </c>
      <c r="K258">
        <f t="shared" si="16"/>
        <v>91057.508334019381</v>
      </c>
    </row>
    <row r="259" spans="1:11" x14ac:dyDescent="0.2">
      <c r="A259" s="39">
        <v>5.9</v>
      </c>
      <c r="B259" s="44">
        <v>2795</v>
      </c>
      <c r="C259" s="39">
        <v>428.5</v>
      </c>
      <c r="D259">
        <v>9.8248450000000001E-2</v>
      </c>
      <c r="G259">
        <f t="shared" si="17"/>
        <v>274.60441774999998</v>
      </c>
      <c r="H259">
        <f t="shared" si="19"/>
        <v>2528.15</v>
      </c>
      <c r="J259">
        <f t="shared" si="18"/>
        <v>254</v>
      </c>
      <c r="K259">
        <f t="shared" si="16"/>
        <v>91597.908098384112</v>
      </c>
    </row>
    <row r="260" spans="1:11" x14ac:dyDescent="0.2">
      <c r="A260" s="39">
        <v>5.9</v>
      </c>
      <c r="B260" s="44">
        <v>2545</v>
      </c>
      <c r="C260" s="39">
        <v>442.5</v>
      </c>
      <c r="D260">
        <v>4.2720499999999995E-2</v>
      </c>
      <c r="G260">
        <f t="shared" si="17"/>
        <v>108.72367249999999</v>
      </c>
      <c r="H260">
        <f t="shared" si="19"/>
        <v>2610.75</v>
      </c>
      <c r="J260">
        <f t="shared" si="18"/>
        <v>255</v>
      </c>
      <c r="K260">
        <f t="shared" si="16"/>
        <v>92139.372691591416</v>
      </c>
    </row>
    <row r="261" spans="1:11" x14ac:dyDescent="0.2">
      <c r="A261" s="39">
        <v>5.9</v>
      </c>
      <c r="B261" s="44">
        <v>2585</v>
      </c>
      <c r="C261" s="39">
        <v>472.5</v>
      </c>
      <c r="D261">
        <v>4.0025999999999999E-2</v>
      </c>
      <c r="G261">
        <f t="shared" si="17"/>
        <v>103.46720999999999</v>
      </c>
      <c r="H261">
        <f t="shared" si="19"/>
        <v>2787.75</v>
      </c>
      <c r="J261">
        <f t="shared" si="18"/>
        <v>256</v>
      </c>
      <c r="K261">
        <f t="shared" si="16"/>
        <v>92681.900023683207</v>
      </c>
    </row>
    <row r="262" spans="1:11" x14ac:dyDescent="0.2">
      <c r="A262" s="39">
        <v>5.9</v>
      </c>
      <c r="B262" s="44">
        <v>2920</v>
      </c>
      <c r="C262" s="39">
        <v>400</v>
      </c>
      <c r="D262">
        <v>8.13025E-2</v>
      </c>
      <c r="G262">
        <f t="shared" si="17"/>
        <v>237.4033</v>
      </c>
      <c r="H262">
        <f t="shared" si="19"/>
        <v>2360</v>
      </c>
      <c r="J262">
        <f t="shared" si="18"/>
        <v>257</v>
      </c>
      <c r="K262">
        <f t="shared" si="16"/>
        <v>93225.488016958145</v>
      </c>
    </row>
    <row r="263" spans="1:11" x14ac:dyDescent="0.2">
      <c r="A263" s="39">
        <v>5.9</v>
      </c>
      <c r="B263" s="44">
        <v>2930</v>
      </c>
      <c r="C263" s="39">
        <v>400</v>
      </c>
      <c r="D263">
        <v>0.177175</v>
      </c>
      <c r="G263">
        <f t="shared" si="17"/>
        <v>519.12275</v>
      </c>
      <c r="H263">
        <f t="shared" si="19"/>
        <v>2360</v>
      </c>
      <c r="J263">
        <f t="shared" si="18"/>
        <v>258</v>
      </c>
      <c r="K263">
        <f t="shared" ref="K263:K326" si="20">(8*J263)^(3/2)</f>
        <v>93770.134605854095</v>
      </c>
    </row>
    <row r="264" spans="1:11" x14ac:dyDescent="0.2">
      <c r="A264" s="39"/>
      <c r="B264" s="40"/>
      <c r="C264" s="39"/>
      <c r="J264">
        <f t="shared" ref="J264:J327" si="21">J263+1</f>
        <v>259</v>
      </c>
      <c r="K264">
        <f t="shared" si="20"/>
        <v>94315.83773682965</v>
      </c>
    </row>
    <row r="265" spans="1:11" x14ac:dyDescent="0.2">
      <c r="A265" s="39"/>
      <c r="B265" s="40"/>
      <c r="C265" s="39"/>
      <c r="J265">
        <f t="shared" si="21"/>
        <v>260</v>
      </c>
      <c r="K265">
        <f t="shared" si="20"/>
        <v>94862.59536824825</v>
      </c>
    </row>
    <row r="266" spans="1:11" x14ac:dyDescent="0.2">
      <c r="A266" s="39"/>
      <c r="B266" s="40"/>
      <c r="C266" s="39"/>
      <c r="J266">
        <f t="shared" si="21"/>
        <v>261</v>
      </c>
      <c r="K266">
        <f t="shared" si="20"/>
        <v>95410.405470262907</v>
      </c>
    </row>
    <row r="267" spans="1:11" x14ac:dyDescent="0.2">
      <c r="A267" s="39"/>
      <c r="B267" s="40"/>
      <c r="C267" s="39"/>
      <c r="J267">
        <f t="shared" si="21"/>
        <v>262</v>
      </c>
      <c r="K267">
        <f t="shared" si="20"/>
        <v>95959.266024704542</v>
      </c>
    </row>
    <row r="268" spans="1:11" x14ac:dyDescent="0.2">
      <c r="A268" s="39"/>
      <c r="B268" s="40"/>
      <c r="C268" s="39"/>
      <c r="J268">
        <f t="shared" si="21"/>
        <v>263</v>
      </c>
      <c r="K268">
        <f t="shared" si="20"/>
        <v>96509.175024968499</v>
      </c>
    </row>
    <row r="269" spans="1:11" x14ac:dyDescent="0.2">
      <c r="A269" s="39"/>
      <c r="B269" s="40"/>
      <c r="C269" s="39"/>
      <c r="J269">
        <f t="shared" si="21"/>
        <v>264</v>
      </c>
      <c r="K269">
        <f t="shared" si="20"/>
        <v>97060.130475906539</v>
      </c>
    </row>
    <row r="270" spans="1:11" x14ac:dyDescent="0.2">
      <c r="A270" s="39"/>
      <c r="B270" s="40"/>
      <c r="C270" s="39"/>
      <c r="J270">
        <f t="shared" si="21"/>
        <v>265</v>
      </c>
      <c r="K270">
        <f t="shared" si="20"/>
        <v>97612.130393716958</v>
      </c>
    </row>
    <row r="271" spans="1:11" x14ac:dyDescent="0.2">
      <c r="A271" s="39"/>
      <c r="B271" s="40"/>
      <c r="C271" s="39"/>
      <c r="J271">
        <f t="shared" si="21"/>
        <v>266</v>
      </c>
      <c r="K271">
        <f t="shared" si="20"/>
        <v>98165.172805837865</v>
      </c>
    </row>
    <row r="272" spans="1:11" x14ac:dyDescent="0.2">
      <c r="A272" s="39"/>
      <c r="B272" s="40"/>
      <c r="C272" s="39"/>
      <c r="J272">
        <f t="shared" si="21"/>
        <v>267</v>
      </c>
      <c r="K272">
        <f t="shared" si="20"/>
        <v>98719.255750841243</v>
      </c>
    </row>
    <row r="273" spans="1:11" x14ac:dyDescent="0.2">
      <c r="A273" s="39"/>
      <c r="B273" s="40"/>
      <c r="C273" s="39"/>
      <c r="J273">
        <f t="shared" si="21"/>
        <v>268</v>
      </c>
      <c r="K273">
        <f t="shared" si="20"/>
        <v>99274.377278328946</v>
      </c>
    </row>
    <row r="274" spans="1:11" x14ac:dyDescent="0.2">
      <c r="A274" s="39"/>
      <c r="B274" s="40"/>
      <c r="C274" s="39"/>
      <c r="J274">
        <f t="shared" si="21"/>
        <v>269</v>
      </c>
      <c r="K274">
        <f t="shared" si="20"/>
        <v>99830.535448829556</v>
      </c>
    </row>
    <row r="275" spans="1:11" x14ac:dyDescent="0.2">
      <c r="A275" s="39"/>
      <c r="B275" s="40"/>
      <c r="C275" s="39"/>
      <c r="J275">
        <f t="shared" si="21"/>
        <v>270</v>
      </c>
      <c r="K275">
        <f t="shared" si="20"/>
        <v>100387.72833369618</v>
      </c>
    </row>
    <row r="276" spans="1:11" x14ac:dyDescent="0.2">
      <c r="A276" s="39"/>
      <c r="B276" s="40"/>
      <c r="C276" s="39"/>
      <c r="J276">
        <f t="shared" si="21"/>
        <v>271</v>
      </c>
      <c r="K276">
        <f t="shared" si="20"/>
        <v>100945.95401500752</v>
      </c>
    </row>
    <row r="277" spans="1:11" x14ac:dyDescent="0.2">
      <c r="A277" s="39"/>
      <c r="B277" s="40"/>
      <c r="C277" s="39"/>
      <c r="J277">
        <f t="shared" si="21"/>
        <v>272</v>
      </c>
      <c r="K277">
        <f t="shared" si="20"/>
        <v>101505.21058546688</v>
      </c>
    </row>
    <row r="278" spans="1:11" x14ac:dyDescent="0.2">
      <c r="A278" s="39"/>
      <c r="B278" s="40"/>
      <c r="C278" s="39"/>
      <c r="J278">
        <f t="shared" si="21"/>
        <v>273</v>
      </c>
      <c r="K278">
        <f t="shared" si="20"/>
        <v>102065.49614830664</v>
      </c>
    </row>
    <row r="279" spans="1:11" x14ac:dyDescent="0.2">
      <c r="A279" s="39"/>
      <c r="B279" s="40"/>
      <c r="C279" s="39"/>
      <c r="J279">
        <f t="shared" si="21"/>
        <v>274</v>
      </c>
      <c r="K279">
        <f t="shared" si="20"/>
        <v>102626.80881718961</v>
      </c>
    </row>
    <row r="280" spans="1:11" x14ac:dyDescent="0.2">
      <c r="A280" s="39"/>
      <c r="B280" s="40"/>
      <c r="C280" s="39"/>
      <c r="J280">
        <f t="shared" si="21"/>
        <v>275</v>
      </c>
      <c r="K280">
        <f t="shared" si="20"/>
        <v>103189.14671611546</v>
      </c>
    </row>
    <row r="281" spans="1:11" x14ac:dyDescent="0.2">
      <c r="A281" s="39"/>
      <c r="B281" s="40"/>
      <c r="C281" s="39"/>
      <c r="J281">
        <f t="shared" si="21"/>
        <v>276</v>
      </c>
      <c r="K281">
        <f t="shared" si="20"/>
        <v>103752.50797932547</v>
      </c>
    </row>
    <row r="282" spans="1:11" x14ac:dyDescent="0.2">
      <c r="A282" s="39"/>
      <c r="B282" s="40"/>
      <c r="C282" s="39"/>
      <c r="J282">
        <f t="shared" si="21"/>
        <v>277</v>
      </c>
      <c r="K282">
        <f t="shared" si="20"/>
        <v>104316.89075121065</v>
      </c>
    </row>
    <row r="283" spans="1:11" x14ac:dyDescent="0.2">
      <c r="A283" s="39"/>
      <c r="B283" s="40"/>
      <c r="C283" s="39"/>
      <c r="J283">
        <f t="shared" si="21"/>
        <v>278</v>
      </c>
      <c r="K283">
        <f t="shared" si="20"/>
        <v>104882.2931862191</v>
      </c>
    </row>
    <row r="284" spans="1:11" x14ac:dyDescent="0.2">
      <c r="A284" s="39"/>
      <c r="B284" s="40"/>
      <c r="C284" s="39"/>
      <c r="J284">
        <f t="shared" si="21"/>
        <v>279</v>
      </c>
      <c r="K284">
        <f t="shared" si="20"/>
        <v>105448.71344876618</v>
      </c>
    </row>
    <row r="285" spans="1:11" x14ac:dyDescent="0.2">
      <c r="A285" s="39"/>
      <c r="B285" s="40"/>
      <c r="C285" s="39"/>
      <c r="J285">
        <f t="shared" si="21"/>
        <v>280</v>
      </c>
      <c r="K285">
        <f t="shared" si="20"/>
        <v>106016.14971314502</v>
      </c>
    </row>
    <row r="286" spans="1:11" x14ac:dyDescent="0.2">
      <c r="A286" s="39"/>
      <c r="B286" s="40"/>
      <c r="C286" s="39"/>
      <c r="J286">
        <f t="shared" si="21"/>
        <v>281</v>
      </c>
      <c r="K286">
        <f t="shared" si="20"/>
        <v>106584.60016343823</v>
      </c>
    </row>
    <row r="287" spans="1:11" x14ac:dyDescent="0.2">
      <c r="A287" s="39"/>
      <c r="B287" s="40"/>
      <c r="C287" s="39"/>
      <c r="J287">
        <f t="shared" si="21"/>
        <v>282</v>
      </c>
      <c r="K287">
        <f t="shared" si="20"/>
        <v>107154.06299343015</v>
      </c>
    </row>
    <row r="288" spans="1:11" x14ac:dyDescent="0.2">
      <c r="A288" s="39"/>
      <c r="B288" s="40"/>
      <c r="C288" s="39"/>
      <c r="J288">
        <f t="shared" si="21"/>
        <v>283</v>
      </c>
      <c r="K288">
        <f t="shared" si="20"/>
        <v>107724.53640652167</v>
      </c>
    </row>
    <row r="289" spans="1:11" x14ac:dyDescent="0.2">
      <c r="A289" s="39"/>
      <c r="B289" s="40"/>
      <c r="C289" s="39"/>
      <c r="J289">
        <f t="shared" si="21"/>
        <v>284</v>
      </c>
      <c r="K289">
        <f t="shared" si="20"/>
        <v>108296.01861564425</v>
      </c>
    </row>
    <row r="290" spans="1:11" x14ac:dyDescent="0.2">
      <c r="A290" s="39"/>
      <c r="B290" s="40"/>
      <c r="C290" s="39"/>
      <c r="J290">
        <f t="shared" si="21"/>
        <v>285</v>
      </c>
      <c r="K290">
        <f t="shared" si="20"/>
        <v>108868.50784317739</v>
      </c>
    </row>
    <row r="291" spans="1:11" x14ac:dyDescent="0.2">
      <c r="A291" s="39"/>
      <c r="B291" s="40"/>
      <c r="C291" s="39"/>
      <c r="J291">
        <f t="shared" si="21"/>
        <v>286</v>
      </c>
      <c r="K291">
        <f t="shared" si="20"/>
        <v>109442.0023208639</v>
      </c>
    </row>
    <row r="292" spans="1:11" x14ac:dyDescent="0.2">
      <c r="A292" s="39"/>
      <c r="B292" s="40"/>
      <c r="C292" s="39"/>
      <c r="J292">
        <f t="shared" si="21"/>
        <v>287</v>
      </c>
      <c r="K292">
        <f t="shared" si="20"/>
        <v>110016.50028972911</v>
      </c>
    </row>
    <row r="293" spans="1:11" x14ac:dyDescent="0.2">
      <c r="A293" s="39"/>
      <c r="B293" s="40"/>
      <c r="C293" s="39"/>
      <c r="J293">
        <f t="shared" si="21"/>
        <v>288</v>
      </c>
      <c r="K293">
        <f t="shared" si="20"/>
        <v>110592.00000000012</v>
      </c>
    </row>
    <row r="294" spans="1:11" x14ac:dyDescent="0.2">
      <c r="A294" s="39"/>
      <c r="B294" s="40"/>
      <c r="C294" s="39"/>
      <c r="J294">
        <f t="shared" si="21"/>
        <v>289</v>
      </c>
      <c r="K294">
        <f t="shared" si="20"/>
        <v>111168.49971102433</v>
      </c>
    </row>
    <row r="295" spans="1:11" x14ac:dyDescent="0.2">
      <c r="A295" s="39"/>
      <c r="B295" s="40"/>
      <c r="C295" s="39"/>
      <c r="J295">
        <f t="shared" si="21"/>
        <v>290</v>
      </c>
      <c r="K295">
        <f t="shared" si="20"/>
        <v>111745.99769119253</v>
      </c>
    </row>
    <row r="296" spans="1:11" x14ac:dyDescent="0.2">
      <c r="A296" s="39"/>
      <c r="B296" s="40"/>
      <c r="C296" s="39"/>
      <c r="J296">
        <f t="shared" si="21"/>
        <v>291</v>
      </c>
      <c r="K296">
        <f t="shared" si="20"/>
        <v>112324.49221785954</v>
      </c>
    </row>
    <row r="297" spans="1:11" x14ac:dyDescent="0.2">
      <c r="A297" s="39"/>
      <c r="B297" s="40"/>
      <c r="C297" s="39"/>
      <c r="J297">
        <f t="shared" si="21"/>
        <v>292</v>
      </c>
      <c r="K297">
        <f t="shared" si="20"/>
        <v>112903.98157726772</v>
      </c>
    </row>
    <row r="298" spans="1:11" x14ac:dyDescent="0.2">
      <c r="A298" s="39"/>
      <c r="B298" s="40"/>
      <c r="C298" s="39"/>
      <c r="J298">
        <f t="shared" si="21"/>
        <v>293</v>
      </c>
      <c r="K298">
        <f t="shared" si="20"/>
        <v>113484.46406446992</v>
      </c>
    </row>
    <row r="299" spans="1:11" x14ac:dyDescent="0.2">
      <c r="A299" s="39"/>
      <c r="B299" s="40"/>
      <c r="C299" s="39"/>
      <c r="J299">
        <f t="shared" si="21"/>
        <v>294</v>
      </c>
      <c r="K299">
        <f t="shared" si="20"/>
        <v>114065.93798325589</v>
      </c>
    </row>
    <row r="300" spans="1:11" x14ac:dyDescent="0.2">
      <c r="A300" s="39"/>
      <c r="B300" s="40"/>
      <c r="C300" s="39"/>
      <c r="J300">
        <f t="shared" si="21"/>
        <v>295</v>
      </c>
      <c r="K300">
        <f t="shared" si="20"/>
        <v>114648.40164607608</v>
      </c>
    </row>
    <row r="301" spans="1:11" x14ac:dyDescent="0.2">
      <c r="A301" s="39"/>
      <c r="B301" s="40"/>
      <c r="C301" s="39"/>
      <c r="J301">
        <f t="shared" si="21"/>
        <v>296</v>
      </c>
      <c r="K301">
        <f t="shared" si="20"/>
        <v>115231.85337396957</v>
      </c>
    </row>
    <row r="302" spans="1:11" x14ac:dyDescent="0.2">
      <c r="A302" s="39"/>
      <c r="B302" s="40"/>
      <c r="C302" s="39"/>
      <c r="J302">
        <f t="shared" si="21"/>
        <v>297</v>
      </c>
      <c r="K302">
        <f t="shared" si="20"/>
        <v>115816.29149649033</v>
      </c>
    </row>
    <row r="303" spans="1:11" x14ac:dyDescent="0.2">
      <c r="A303" s="39"/>
      <c r="B303" s="40"/>
      <c r="C303" s="39"/>
      <c r="J303">
        <f t="shared" si="21"/>
        <v>298</v>
      </c>
      <c r="K303">
        <f t="shared" si="20"/>
        <v>116401.71435163671</v>
      </c>
    </row>
    <row r="304" spans="1:11" x14ac:dyDescent="0.2">
      <c r="A304" s="39"/>
      <c r="B304" s="40"/>
      <c r="C304" s="39"/>
      <c r="J304">
        <f t="shared" si="21"/>
        <v>299</v>
      </c>
      <c r="K304">
        <f t="shared" si="20"/>
        <v>116988.12028577951</v>
      </c>
    </row>
    <row r="305" spans="1:11" x14ac:dyDescent="0.2">
      <c r="A305" s="39"/>
      <c r="B305" s="40"/>
      <c r="C305" s="39"/>
      <c r="J305">
        <f t="shared" si="21"/>
        <v>300</v>
      </c>
      <c r="K305">
        <f t="shared" si="20"/>
        <v>117575.50765359268</v>
      </c>
    </row>
    <row r="306" spans="1:11" x14ac:dyDescent="0.2">
      <c r="A306" s="39"/>
      <c r="B306" s="40"/>
      <c r="C306" s="39"/>
      <c r="J306">
        <f t="shared" si="21"/>
        <v>301</v>
      </c>
      <c r="K306">
        <f t="shared" si="20"/>
        <v>118163.87481798317</v>
      </c>
    </row>
    <row r="307" spans="1:11" x14ac:dyDescent="0.2">
      <c r="A307" s="39"/>
      <c r="B307" s="40"/>
      <c r="C307" s="39"/>
      <c r="J307">
        <f t="shared" si="21"/>
        <v>302</v>
      </c>
      <c r="K307">
        <f t="shared" si="20"/>
        <v>118753.22015002373</v>
      </c>
    </row>
    <row r="308" spans="1:11" x14ac:dyDescent="0.2">
      <c r="A308" s="39"/>
      <c r="B308" s="40"/>
      <c r="C308" s="39"/>
      <c r="J308">
        <f t="shared" si="21"/>
        <v>303</v>
      </c>
      <c r="K308">
        <f t="shared" si="20"/>
        <v>119343.54202888403</v>
      </c>
    </row>
    <row r="309" spans="1:11" x14ac:dyDescent="0.2">
      <c r="A309" s="39"/>
      <c r="B309" s="40"/>
      <c r="C309" s="39"/>
      <c r="J309">
        <f t="shared" si="21"/>
        <v>304</v>
      </c>
      <c r="K309">
        <f t="shared" si="20"/>
        <v>119934.83884176447</v>
      </c>
    </row>
    <row r="310" spans="1:11" x14ac:dyDescent="0.2">
      <c r="A310" s="39"/>
      <c r="B310" s="40"/>
      <c r="C310" s="39"/>
      <c r="J310">
        <f t="shared" si="21"/>
        <v>305</v>
      </c>
      <c r="K310">
        <f t="shared" si="20"/>
        <v>120527.10898382973</v>
      </c>
    </row>
    <row r="311" spans="1:11" x14ac:dyDescent="0.2">
      <c r="A311" s="39"/>
      <c r="B311" s="40"/>
      <c r="C311" s="39"/>
      <c r="J311">
        <f t="shared" si="21"/>
        <v>306</v>
      </c>
      <c r="K311">
        <f t="shared" si="20"/>
        <v>121120.35085814453</v>
      </c>
    </row>
    <row r="312" spans="1:11" x14ac:dyDescent="0.2">
      <c r="A312" s="39"/>
      <c r="B312" s="40"/>
      <c r="C312" s="39"/>
      <c r="J312">
        <f t="shared" si="21"/>
        <v>307</v>
      </c>
      <c r="K312">
        <f t="shared" si="20"/>
        <v>121714.56287560651</v>
      </c>
    </row>
    <row r="313" spans="1:11" x14ac:dyDescent="0.2">
      <c r="A313" s="39"/>
      <c r="B313" s="40"/>
      <c r="C313" s="39"/>
      <c r="J313">
        <f t="shared" si="21"/>
        <v>308</v>
      </c>
      <c r="K313">
        <f t="shared" si="20"/>
        <v>122309.7434548859</v>
      </c>
    </row>
    <row r="314" spans="1:11" x14ac:dyDescent="0.2">
      <c r="A314" s="39"/>
      <c r="B314" s="40"/>
      <c r="C314" s="39"/>
      <c r="J314">
        <f t="shared" si="21"/>
        <v>309</v>
      </c>
      <c r="K314">
        <f t="shared" si="20"/>
        <v>122905.89102235901</v>
      </c>
    </row>
    <row r="315" spans="1:11" x14ac:dyDescent="0.2">
      <c r="A315" s="39"/>
      <c r="B315" s="40"/>
      <c r="C315" s="39"/>
      <c r="J315">
        <f t="shared" si="21"/>
        <v>310</v>
      </c>
      <c r="K315">
        <f t="shared" si="20"/>
        <v>123503.00401204822</v>
      </c>
    </row>
    <row r="316" spans="1:11" x14ac:dyDescent="0.2">
      <c r="A316" s="39"/>
      <c r="B316" s="40"/>
      <c r="C316" s="39"/>
      <c r="J316">
        <f t="shared" si="21"/>
        <v>311</v>
      </c>
      <c r="K316">
        <f t="shared" si="20"/>
        <v>124101.08086555889</v>
      </c>
    </row>
    <row r="317" spans="1:11" x14ac:dyDescent="0.2">
      <c r="A317" s="39"/>
      <c r="B317" s="40"/>
      <c r="C317" s="39"/>
      <c r="J317">
        <f t="shared" si="21"/>
        <v>312</v>
      </c>
      <c r="K317">
        <f t="shared" si="20"/>
        <v>124700.12003201923</v>
      </c>
    </row>
    <row r="318" spans="1:11" x14ac:dyDescent="0.2">
      <c r="A318" s="39"/>
      <c r="B318" s="40"/>
      <c r="C318" s="39"/>
      <c r="J318">
        <f t="shared" si="21"/>
        <v>313</v>
      </c>
      <c r="K318">
        <f t="shared" si="20"/>
        <v>125300.11996801924</v>
      </c>
    </row>
    <row r="319" spans="1:11" x14ac:dyDescent="0.2">
      <c r="A319" s="39"/>
      <c r="B319" s="40"/>
      <c r="C319" s="39"/>
      <c r="J319">
        <f t="shared" si="21"/>
        <v>314</v>
      </c>
      <c r="K319">
        <f t="shared" si="20"/>
        <v>125901.07913755148</v>
      </c>
    </row>
    <row r="320" spans="1:11" x14ac:dyDescent="0.2">
      <c r="A320" s="39"/>
      <c r="B320" s="40"/>
      <c r="C320" s="39"/>
      <c r="J320">
        <f t="shared" si="21"/>
        <v>315</v>
      </c>
      <c r="K320">
        <f t="shared" si="20"/>
        <v>126502.99601195239</v>
      </c>
    </row>
    <row r="321" spans="1:11" x14ac:dyDescent="0.2">
      <c r="A321" s="39"/>
      <c r="B321" s="40"/>
      <c r="C321" s="39"/>
      <c r="J321">
        <f t="shared" si="21"/>
        <v>316</v>
      </c>
      <c r="K321">
        <f t="shared" si="20"/>
        <v>127105.86906984285</v>
      </c>
    </row>
    <row r="322" spans="1:11" x14ac:dyDescent="0.2">
      <c r="A322" s="39"/>
      <c r="B322" s="40"/>
      <c r="C322" s="39"/>
      <c r="J322">
        <f t="shared" si="21"/>
        <v>317</v>
      </c>
      <c r="K322">
        <f t="shared" si="20"/>
        <v>127709.69679707164</v>
      </c>
    </row>
    <row r="323" spans="1:11" x14ac:dyDescent="0.2">
      <c r="A323" s="39"/>
      <c r="B323" s="40"/>
      <c r="C323" s="39"/>
      <c r="J323">
        <f t="shared" si="21"/>
        <v>318</v>
      </c>
      <c r="K323">
        <f t="shared" si="20"/>
        <v>128314.47768665863</v>
      </c>
    </row>
    <row r="324" spans="1:11" x14ac:dyDescent="0.2">
      <c r="A324" s="39"/>
      <c r="B324" s="40"/>
      <c r="C324" s="39"/>
      <c r="J324">
        <f t="shared" si="21"/>
        <v>319</v>
      </c>
      <c r="K324">
        <f t="shared" si="20"/>
        <v>128920.21023873638</v>
      </c>
    </row>
    <row r="325" spans="1:11" x14ac:dyDescent="0.2">
      <c r="A325" s="39"/>
      <c r="B325" s="40"/>
      <c r="C325" s="39"/>
      <c r="J325">
        <f t="shared" si="21"/>
        <v>320</v>
      </c>
      <c r="K325">
        <f t="shared" si="20"/>
        <v>129526.89296049695</v>
      </c>
    </row>
    <row r="326" spans="1:11" x14ac:dyDescent="0.2">
      <c r="A326" s="39"/>
      <c r="B326" s="40"/>
      <c r="C326" s="39"/>
      <c r="J326">
        <f t="shared" si="21"/>
        <v>321</v>
      </c>
      <c r="K326">
        <f t="shared" si="20"/>
        <v>130134.52436613433</v>
      </c>
    </row>
    <row r="327" spans="1:11" x14ac:dyDescent="0.2">
      <c r="A327" s="39"/>
      <c r="B327" s="40"/>
      <c r="C327" s="39"/>
      <c r="J327">
        <f t="shared" si="21"/>
        <v>322</v>
      </c>
      <c r="K327">
        <f t="shared" ref="K327:K390" si="22">(8*J327)^(3/2)</f>
        <v>130743.10297679184</v>
      </c>
    </row>
    <row r="328" spans="1:11" x14ac:dyDescent="0.2">
      <c r="A328" s="39"/>
      <c r="B328" s="40"/>
      <c r="C328" s="39"/>
      <c r="J328">
        <f t="shared" ref="J328:J391" si="23">J327+1</f>
        <v>323</v>
      </c>
      <c r="K328">
        <f t="shared" si="22"/>
        <v>131352.62732050708</v>
      </c>
    </row>
    <row r="329" spans="1:11" x14ac:dyDescent="0.2">
      <c r="A329" s="39"/>
      <c r="B329" s="40"/>
      <c r="C329" s="39"/>
      <c r="J329">
        <f t="shared" si="23"/>
        <v>324</v>
      </c>
      <c r="K329">
        <f t="shared" si="22"/>
        <v>131963.09593215823</v>
      </c>
    </row>
    <row r="330" spans="1:11" x14ac:dyDescent="0.2">
      <c r="A330" s="39"/>
      <c r="B330" s="40"/>
      <c r="C330" s="39"/>
      <c r="J330">
        <f t="shared" si="23"/>
        <v>325</v>
      </c>
      <c r="K330">
        <f t="shared" si="22"/>
        <v>132574.50735341242</v>
      </c>
    </row>
    <row r="331" spans="1:11" x14ac:dyDescent="0.2">
      <c r="A331" s="39"/>
      <c r="B331" s="40"/>
      <c r="C331" s="39"/>
      <c r="J331">
        <f t="shared" si="23"/>
        <v>326</v>
      </c>
      <c r="K331">
        <f t="shared" si="22"/>
        <v>133186.86013267227</v>
      </c>
    </row>
    <row r="332" spans="1:11" x14ac:dyDescent="0.2">
      <c r="A332" s="39"/>
      <c r="B332" s="40"/>
      <c r="C332" s="39"/>
      <c r="J332">
        <f t="shared" si="23"/>
        <v>327</v>
      </c>
      <c r="K332">
        <f t="shared" si="22"/>
        <v>133800.15282502482</v>
      </c>
    </row>
    <row r="333" spans="1:11" x14ac:dyDescent="0.2">
      <c r="A333" s="39"/>
      <c r="B333" s="40"/>
      <c r="C333" s="39"/>
      <c r="J333">
        <f t="shared" si="23"/>
        <v>328</v>
      </c>
      <c r="K333">
        <f t="shared" si="22"/>
        <v>134414.38399219044</v>
      </c>
    </row>
    <row r="334" spans="1:11" x14ac:dyDescent="0.2">
      <c r="A334" s="39"/>
      <c r="B334" s="40"/>
      <c r="C334" s="39"/>
      <c r="J334">
        <f t="shared" si="23"/>
        <v>329</v>
      </c>
      <c r="K334">
        <f t="shared" si="22"/>
        <v>135029.55220247159</v>
      </c>
    </row>
    <row r="335" spans="1:11" x14ac:dyDescent="0.2">
      <c r="A335" s="39"/>
      <c r="B335" s="40"/>
      <c r="C335" s="39"/>
      <c r="J335">
        <f t="shared" si="23"/>
        <v>330</v>
      </c>
      <c r="K335">
        <f t="shared" si="22"/>
        <v>135645.65603070383</v>
      </c>
    </row>
    <row r="336" spans="1:11" x14ac:dyDescent="0.2">
      <c r="A336" s="39"/>
      <c r="B336" s="40"/>
      <c r="C336" s="39"/>
      <c r="J336">
        <f t="shared" si="23"/>
        <v>331</v>
      </c>
      <c r="K336">
        <f t="shared" si="22"/>
        <v>136262.69405820526</v>
      </c>
    </row>
    <row r="337" spans="1:11" x14ac:dyDescent="0.2">
      <c r="A337" s="39"/>
      <c r="B337" s="40"/>
      <c r="C337" s="39"/>
      <c r="J337">
        <f t="shared" si="23"/>
        <v>332</v>
      </c>
      <c r="K337">
        <f t="shared" si="22"/>
        <v>136880.66487272765</v>
      </c>
    </row>
    <row r="338" spans="1:11" x14ac:dyDescent="0.2">
      <c r="A338" s="39"/>
      <c r="B338" s="40"/>
      <c r="C338" s="39"/>
      <c r="J338">
        <f t="shared" si="23"/>
        <v>333</v>
      </c>
      <c r="K338">
        <f t="shared" si="22"/>
        <v>137499.56706840929</v>
      </c>
    </row>
    <row r="339" spans="1:11" x14ac:dyDescent="0.2">
      <c r="A339" s="39"/>
      <c r="B339" s="40"/>
      <c r="C339" s="39"/>
      <c r="J339">
        <f t="shared" si="23"/>
        <v>334</v>
      </c>
      <c r="K339">
        <f t="shared" si="22"/>
        <v>138119.3992457249</v>
      </c>
    </row>
    <row r="340" spans="1:11" x14ac:dyDescent="0.2">
      <c r="A340" s="39"/>
      <c r="B340" s="40"/>
      <c r="C340" s="39"/>
      <c r="J340">
        <f t="shared" si="23"/>
        <v>335</v>
      </c>
      <c r="K340">
        <f t="shared" si="22"/>
        <v>138740.16001144011</v>
      </c>
    </row>
    <row r="341" spans="1:11" x14ac:dyDescent="0.2">
      <c r="A341" s="39"/>
      <c r="B341" s="40"/>
      <c r="C341" s="39"/>
      <c r="J341">
        <f t="shared" si="23"/>
        <v>336</v>
      </c>
      <c r="K341">
        <f t="shared" si="22"/>
        <v>139361.84797856279</v>
      </c>
    </row>
    <row r="342" spans="1:11" x14ac:dyDescent="0.2">
      <c r="A342" s="39"/>
      <c r="B342" s="40"/>
      <c r="C342" s="39"/>
      <c r="J342">
        <f t="shared" si="23"/>
        <v>337</v>
      </c>
      <c r="K342">
        <f t="shared" si="22"/>
        <v>139984.46176629749</v>
      </c>
    </row>
    <row r="343" spans="1:11" x14ac:dyDescent="0.2">
      <c r="A343" s="39"/>
      <c r="B343" s="40"/>
      <c r="C343" s="39"/>
      <c r="J343">
        <f t="shared" si="23"/>
        <v>338</v>
      </c>
      <c r="K343">
        <f t="shared" si="22"/>
        <v>140608.00000000015</v>
      </c>
    </row>
    <row r="344" spans="1:11" x14ac:dyDescent="0.2">
      <c r="A344" s="39"/>
      <c r="B344" s="40"/>
      <c r="C344" s="39"/>
      <c r="J344">
        <f t="shared" si="23"/>
        <v>339</v>
      </c>
      <c r="K344">
        <f t="shared" si="22"/>
        <v>141232.46131113058</v>
      </c>
    </row>
    <row r="345" spans="1:11" x14ac:dyDescent="0.2">
      <c r="A345" s="39"/>
      <c r="B345" s="40"/>
      <c r="C345" s="39"/>
      <c r="J345">
        <f t="shared" si="23"/>
        <v>340</v>
      </c>
      <c r="K345">
        <f t="shared" si="22"/>
        <v>141857.84433720954</v>
      </c>
    </row>
    <row r="346" spans="1:11" x14ac:dyDescent="0.2">
      <c r="A346" s="39"/>
      <c r="B346" s="40"/>
      <c r="C346" s="39"/>
      <c r="J346">
        <f t="shared" si="23"/>
        <v>341</v>
      </c>
      <c r="K346">
        <f t="shared" si="22"/>
        <v>142484.14772177304</v>
      </c>
    </row>
    <row r="347" spans="1:11" x14ac:dyDescent="0.2">
      <c r="A347" s="39"/>
      <c r="B347" s="40"/>
      <c r="C347" s="39"/>
      <c r="J347">
        <f t="shared" si="23"/>
        <v>342</v>
      </c>
      <c r="K347">
        <f t="shared" si="22"/>
        <v>143111.37011432732</v>
      </c>
    </row>
    <row r="348" spans="1:11" x14ac:dyDescent="0.2">
      <c r="A348" s="39"/>
      <c r="B348" s="40"/>
      <c r="C348" s="39"/>
      <c r="J348">
        <f t="shared" si="23"/>
        <v>343</v>
      </c>
      <c r="K348">
        <f t="shared" si="22"/>
        <v>143739.51017030762</v>
      </c>
    </row>
    <row r="349" spans="1:11" x14ac:dyDescent="0.2">
      <c r="A349" s="39"/>
      <c r="B349" s="40"/>
      <c r="C349" s="39"/>
      <c r="J349">
        <f t="shared" si="23"/>
        <v>344</v>
      </c>
      <c r="K349">
        <f t="shared" si="22"/>
        <v>144368.56655103285</v>
      </c>
    </row>
    <row r="350" spans="1:11" x14ac:dyDescent="0.2">
      <c r="A350" s="39"/>
      <c r="B350" s="40"/>
      <c r="C350" s="39"/>
      <c r="J350">
        <f t="shared" si="23"/>
        <v>345</v>
      </c>
      <c r="K350">
        <f t="shared" si="22"/>
        <v>144998.53792366324</v>
      </c>
    </row>
    <row r="351" spans="1:11" x14ac:dyDescent="0.2">
      <c r="A351" s="39"/>
      <c r="B351" s="40"/>
      <c r="C351" s="39"/>
      <c r="J351">
        <f t="shared" si="23"/>
        <v>346</v>
      </c>
      <c r="K351">
        <f t="shared" si="22"/>
        <v>145629.42296115833</v>
      </c>
    </row>
    <row r="352" spans="1:11" x14ac:dyDescent="0.2">
      <c r="A352" s="39"/>
      <c r="B352" s="40"/>
      <c r="C352" s="39"/>
      <c r="J352">
        <f t="shared" si="23"/>
        <v>347</v>
      </c>
      <c r="K352">
        <f t="shared" si="22"/>
        <v>146261.22034223564</v>
      </c>
    </row>
    <row r="353" spans="1:11" x14ac:dyDescent="0.2">
      <c r="A353" s="39"/>
      <c r="B353" s="40"/>
      <c r="C353" s="39"/>
      <c r="J353">
        <f t="shared" si="23"/>
        <v>348</v>
      </c>
      <c r="K353">
        <f t="shared" si="22"/>
        <v>146893.92875132733</v>
      </c>
    </row>
    <row r="354" spans="1:11" x14ac:dyDescent="0.2">
      <c r="A354" s="39"/>
      <c r="B354" s="40"/>
      <c r="C354" s="39"/>
      <c r="J354">
        <f t="shared" si="23"/>
        <v>349</v>
      </c>
      <c r="K354">
        <f t="shared" si="22"/>
        <v>147527.54687854077</v>
      </c>
    </row>
    <row r="355" spans="1:11" x14ac:dyDescent="0.2">
      <c r="A355" s="39"/>
      <c r="B355" s="40"/>
      <c r="C355" s="39"/>
      <c r="J355">
        <f t="shared" si="23"/>
        <v>350</v>
      </c>
      <c r="K355">
        <f t="shared" si="22"/>
        <v>148162.07341961697</v>
      </c>
    </row>
    <row r="356" spans="1:11" x14ac:dyDescent="0.2">
      <c r="A356" s="39"/>
      <c r="B356" s="40"/>
      <c r="C356" s="39"/>
      <c r="J356">
        <f t="shared" si="23"/>
        <v>351</v>
      </c>
      <c r="K356">
        <f t="shared" si="22"/>
        <v>148797.50707589166</v>
      </c>
    </row>
    <row r="357" spans="1:11" x14ac:dyDescent="0.2">
      <c r="A357" s="39"/>
      <c r="B357" s="40"/>
      <c r="C357" s="39"/>
      <c r="J357">
        <f t="shared" si="23"/>
        <v>352</v>
      </c>
      <c r="K357">
        <f t="shared" si="22"/>
        <v>149433.84655425296</v>
      </c>
    </row>
    <row r="358" spans="1:11" x14ac:dyDescent="0.2">
      <c r="A358" s="39"/>
      <c r="B358" s="40"/>
      <c r="C358" s="39"/>
      <c r="J358">
        <f t="shared" si="23"/>
        <v>353</v>
      </c>
      <c r="K358">
        <f t="shared" si="22"/>
        <v>150071.09056710411</v>
      </c>
    </row>
    <row r="359" spans="1:11" x14ac:dyDescent="0.2">
      <c r="A359" s="39"/>
      <c r="B359" s="40"/>
      <c r="C359" s="39"/>
      <c r="J359">
        <f t="shared" si="23"/>
        <v>354</v>
      </c>
      <c r="K359">
        <f t="shared" si="22"/>
        <v>150709.23783232394</v>
      </c>
    </row>
    <row r="360" spans="1:11" x14ac:dyDescent="0.2">
      <c r="A360" s="39"/>
      <c r="B360" s="40"/>
      <c r="C360" s="39"/>
      <c r="J360">
        <f t="shared" si="23"/>
        <v>355</v>
      </c>
      <c r="K360">
        <f t="shared" si="22"/>
        <v>151348.28707322731</v>
      </c>
    </row>
    <row r="361" spans="1:11" x14ac:dyDescent="0.2">
      <c r="A361" s="39"/>
      <c r="B361" s="40"/>
      <c r="C361" s="39"/>
      <c r="J361">
        <f t="shared" si="23"/>
        <v>356</v>
      </c>
      <c r="K361">
        <f t="shared" si="22"/>
        <v>151988.23701852726</v>
      </c>
    </row>
    <row r="362" spans="1:11" x14ac:dyDescent="0.2">
      <c r="A362" s="39"/>
      <c r="B362" s="40"/>
      <c r="C362" s="39"/>
      <c r="J362">
        <f t="shared" si="23"/>
        <v>357</v>
      </c>
      <c r="K362">
        <f t="shared" si="22"/>
        <v>152629.08640229743</v>
      </c>
    </row>
    <row r="363" spans="1:11" x14ac:dyDescent="0.2">
      <c r="A363" s="39"/>
      <c r="B363" s="40"/>
      <c r="C363" s="39"/>
      <c r="J363">
        <f t="shared" si="23"/>
        <v>358</v>
      </c>
      <c r="K363">
        <f t="shared" si="22"/>
        <v>153270.83396393465</v>
      </c>
    </row>
    <row r="364" spans="1:11" x14ac:dyDescent="0.2">
      <c r="A364" s="39"/>
      <c r="B364" s="40"/>
      <c r="C364" s="39"/>
      <c r="J364">
        <f t="shared" si="23"/>
        <v>359</v>
      </c>
      <c r="K364">
        <f t="shared" si="22"/>
        <v>153913.47844812027</v>
      </c>
    </row>
    <row r="365" spans="1:11" x14ac:dyDescent="0.2">
      <c r="A365" s="39"/>
      <c r="B365" s="40"/>
      <c r="C365" s="39"/>
      <c r="J365">
        <f t="shared" si="23"/>
        <v>360</v>
      </c>
      <c r="K365">
        <f t="shared" si="22"/>
        <v>154557.01860478541</v>
      </c>
    </row>
    <row r="366" spans="1:11" x14ac:dyDescent="0.2">
      <c r="A366" s="39"/>
      <c r="B366" s="40"/>
      <c r="C366" s="39"/>
      <c r="J366">
        <f t="shared" si="23"/>
        <v>361</v>
      </c>
      <c r="K366">
        <f t="shared" si="22"/>
        <v>155201.45318907278</v>
      </c>
    </row>
    <row r="367" spans="1:11" x14ac:dyDescent="0.2">
      <c r="A367" s="39"/>
      <c r="B367" s="40"/>
      <c r="C367" s="39"/>
      <c r="J367">
        <f t="shared" si="23"/>
        <v>362</v>
      </c>
      <c r="K367">
        <f t="shared" si="22"/>
        <v>155846.78096130196</v>
      </c>
    </row>
    <row r="368" spans="1:11" x14ac:dyDescent="0.2">
      <c r="A368" s="39"/>
      <c r="B368" s="40"/>
      <c r="C368" s="39"/>
      <c r="J368">
        <f t="shared" si="23"/>
        <v>363</v>
      </c>
      <c r="K368">
        <f t="shared" si="22"/>
        <v>156493.00068693166</v>
      </c>
    </row>
    <row r="369" spans="1:11" x14ac:dyDescent="0.2">
      <c r="A369" s="39"/>
      <c r="B369" s="40"/>
      <c r="C369" s="39"/>
      <c r="J369">
        <f t="shared" si="23"/>
        <v>364</v>
      </c>
      <c r="K369">
        <f t="shared" si="22"/>
        <v>157140.11113652686</v>
      </c>
    </row>
    <row r="370" spans="1:11" x14ac:dyDescent="0.2">
      <c r="A370" s="39"/>
      <c r="B370" s="40"/>
      <c r="C370" s="39"/>
      <c r="J370">
        <f t="shared" si="23"/>
        <v>365</v>
      </c>
      <c r="K370">
        <f t="shared" si="22"/>
        <v>157788.11108572167</v>
      </c>
    </row>
    <row r="371" spans="1:11" x14ac:dyDescent="0.2">
      <c r="A371" s="39"/>
      <c r="B371" s="40"/>
      <c r="C371" s="39"/>
      <c r="J371">
        <f t="shared" si="23"/>
        <v>366</v>
      </c>
      <c r="K371">
        <f t="shared" si="22"/>
        <v>158436.99931518512</v>
      </c>
    </row>
    <row r="372" spans="1:11" x14ac:dyDescent="0.2">
      <c r="A372" s="39"/>
      <c r="B372" s="40"/>
      <c r="C372" s="39"/>
      <c r="J372">
        <f t="shared" si="23"/>
        <v>367</v>
      </c>
      <c r="K372">
        <f t="shared" si="22"/>
        <v>159086.77461058786</v>
      </c>
    </row>
    <row r="373" spans="1:11" x14ac:dyDescent="0.2">
      <c r="A373" s="39"/>
      <c r="B373" s="40"/>
      <c r="C373" s="39"/>
      <c r="J373">
        <f t="shared" si="23"/>
        <v>368</v>
      </c>
      <c r="K373">
        <f t="shared" si="22"/>
        <v>159737.43576256631</v>
      </c>
    </row>
    <row r="374" spans="1:11" x14ac:dyDescent="0.2">
      <c r="A374" s="39"/>
      <c r="B374" s="40"/>
      <c r="C374" s="39"/>
      <c r="J374">
        <f t="shared" si="23"/>
        <v>369</v>
      </c>
      <c r="K374">
        <f t="shared" si="22"/>
        <v>160388.98156668982</v>
      </c>
    </row>
    <row r="375" spans="1:11" x14ac:dyDescent="0.2">
      <c r="A375" s="39"/>
      <c r="B375" s="40"/>
      <c r="C375" s="39"/>
      <c r="J375">
        <f t="shared" si="23"/>
        <v>370</v>
      </c>
      <c r="K375">
        <f t="shared" si="22"/>
        <v>161041.41082342758</v>
      </c>
    </row>
    <row r="376" spans="1:11" x14ac:dyDescent="0.2">
      <c r="A376" s="39"/>
      <c r="B376" s="40"/>
      <c r="C376" s="39"/>
      <c r="J376">
        <f t="shared" si="23"/>
        <v>371</v>
      </c>
      <c r="K376">
        <f t="shared" si="22"/>
        <v>161694.72233811478</v>
      </c>
    </row>
    <row r="377" spans="1:11" x14ac:dyDescent="0.2">
      <c r="A377" s="39"/>
      <c r="B377" s="40"/>
      <c r="C377" s="39"/>
      <c r="J377">
        <f t="shared" si="23"/>
        <v>372</v>
      </c>
      <c r="K377">
        <f t="shared" si="22"/>
        <v>162348.91492091966</v>
      </c>
    </row>
    <row r="378" spans="1:11" x14ac:dyDescent="0.2">
      <c r="A378" s="39"/>
      <c r="B378" s="40"/>
      <c r="C378" s="39"/>
      <c r="J378">
        <f t="shared" si="23"/>
        <v>373</v>
      </c>
      <c r="K378">
        <f t="shared" si="22"/>
        <v>163003.98738681219</v>
      </c>
    </row>
    <row r="379" spans="1:11" x14ac:dyDescent="0.2">
      <c r="A379" s="39"/>
      <c r="B379" s="40"/>
      <c r="C379" s="39"/>
      <c r="J379">
        <f t="shared" si="23"/>
        <v>374</v>
      </c>
      <c r="K379">
        <f t="shared" si="22"/>
        <v>163659.93855553051</v>
      </c>
    </row>
    <row r="380" spans="1:11" x14ac:dyDescent="0.2">
      <c r="A380" s="39"/>
      <c r="B380" s="40"/>
      <c r="C380" s="39"/>
      <c r="J380">
        <f t="shared" si="23"/>
        <v>375</v>
      </c>
      <c r="K380">
        <f t="shared" si="22"/>
        <v>164316.76725154978</v>
      </c>
    </row>
    <row r="381" spans="1:11" x14ac:dyDescent="0.2">
      <c r="A381" s="39"/>
      <c r="B381" s="40"/>
      <c r="C381" s="39"/>
      <c r="J381">
        <f t="shared" si="23"/>
        <v>376</v>
      </c>
      <c r="K381">
        <f t="shared" si="22"/>
        <v>164974.47230405046</v>
      </c>
    </row>
    <row r="382" spans="1:11" x14ac:dyDescent="0.2">
      <c r="A382" s="39"/>
      <c r="B382" s="40"/>
      <c r="C382" s="39"/>
      <c r="J382">
        <f t="shared" si="23"/>
        <v>377</v>
      </c>
      <c r="K382">
        <f t="shared" si="22"/>
        <v>165633.05254688775</v>
      </c>
    </row>
    <row r="383" spans="1:11" x14ac:dyDescent="0.2">
      <c r="A383" s="39"/>
      <c r="B383" s="40"/>
      <c r="C383" s="39"/>
      <c r="J383">
        <f t="shared" si="23"/>
        <v>378</v>
      </c>
      <c r="K383">
        <f t="shared" si="22"/>
        <v>166292.50681855751</v>
      </c>
    </row>
    <row r="384" spans="1:11" x14ac:dyDescent="0.2">
      <c r="A384" s="39"/>
      <c r="B384" s="40"/>
      <c r="C384" s="39"/>
      <c r="J384">
        <f t="shared" si="23"/>
        <v>379</v>
      </c>
      <c r="K384">
        <f t="shared" si="22"/>
        <v>166952.83396217012</v>
      </c>
    </row>
    <row r="385" spans="1:11" x14ac:dyDescent="0.2">
      <c r="A385" s="39"/>
      <c r="B385" s="40"/>
      <c r="C385" s="39"/>
      <c r="J385">
        <f t="shared" si="23"/>
        <v>380</v>
      </c>
      <c r="K385">
        <f t="shared" si="22"/>
        <v>167614.03282541697</v>
      </c>
    </row>
    <row r="386" spans="1:11" x14ac:dyDescent="0.2">
      <c r="A386" s="39"/>
      <c r="B386" s="40"/>
      <c r="C386" s="39"/>
      <c r="J386">
        <f t="shared" si="23"/>
        <v>381</v>
      </c>
      <c r="K386">
        <f t="shared" si="22"/>
        <v>168276.10226054059</v>
      </c>
    </row>
    <row r="387" spans="1:11" x14ac:dyDescent="0.2">
      <c r="A387" s="39"/>
      <c r="B387" s="40"/>
      <c r="C387" s="39"/>
      <c r="J387">
        <f t="shared" si="23"/>
        <v>382</v>
      </c>
      <c r="K387">
        <f t="shared" si="22"/>
        <v>168939.04112430639</v>
      </c>
    </row>
    <row r="388" spans="1:11" x14ac:dyDescent="0.2">
      <c r="A388" s="39"/>
      <c r="B388" s="40"/>
      <c r="C388" s="39"/>
      <c r="J388">
        <f t="shared" si="23"/>
        <v>383</v>
      </c>
      <c r="K388">
        <f t="shared" si="22"/>
        <v>169602.84827796987</v>
      </c>
    </row>
    <row r="389" spans="1:11" x14ac:dyDescent="0.2">
      <c r="A389" s="39"/>
      <c r="B389" s="40"/>
      <c r="C389" s="39"/>
      <c r="J389">
        <f t="shared" si="23"/>
        <v>384</v>
      </c>
      <c r="K389">
        <f t="shared" si="22"/>
        <v>170267.52258725083</v>
      </c>
    </row>
    <row r="390" spans="1:11" x14ac:dyDescent="0.2">
      <c r="A390" s="39"/>
      <c r="B390" s="40"/>
      <c r="C390" s="39"/>
      <c r="J390">
        <f t="shared" si="23"/>
        <v>385</v>
      </c>
      <c r="K390">
        <f t="shared" si="22"/>
        <v>170933.0629223031</v>
      </c>
    </row>
    <row r="391" spans="1:11" x14ac:dyDescent="0.2">
      <c r="A391" s="39"/>
      <c r="B391" s="40"/>
      <c r="C391" s="39"/>
      <c r="J391">
        <f t="shared" si="23"/>
        <v>386</v>
      </c>
      <c r="K391">
        <f t="shared" ref="K391:K454" si="24">(8*J391)^(3/2)</f>
        <v>171599.46815768423</v>
      </c>
    </row>
    <row r="392" spans="1:11" x14ac:dyDescent="0.2">
      <c r="A392" s="39"/>
      <c r="B392" s="40"/>
      <c r="C392" s="39"/>
      <c r="J392">
        <f t="shared" ref="J392:J455" si="25">J391+1</f>
        <v>387</v>
      </c>
      <c r="K392">
        <f t="shared" si="24"/>
        <v>172266.73717232828</v>
      </c>
    </row>
    <row r="393" spans="1:11" x14ac:dyDescent="0.2">
      <c r="A393" s="39"/>
      <c r="B393" s="40"/>
      <c r="C393" s="39"/>
      <c r="J393">
        <f t="shared" si="25"/>
        <v>388</v>
      </c>
      <c r="K393">
        <f t="shared" si="24"/>
        <v>172934.86884951798</v>
      </c>
    </row>
    <row r="394" spans="1:11" x14ac:dyDescent="0.2">
      <c r="A394" s="39"/>
      <c r="B394" s="40"/>
      <c r="C394" s="39"/>
      <c r="J394">
        <f t="shared" si="25"/>
        <v>389</v>
      </c>
      <c r="K394">
        <f t="shared" si="24"/>
        <v>173603.86207685608</v>
      </c>
    </row>
    <row r="395" spans="1:11" x14ac:dyDescent="0.2">
      <c r="A395" s="39"/>
      <c r="B395" s="40"/>
      <c r="C395" s="39"/>
      <c r="J395">
        <f t="shared" si="25"/>
        <v>390</v>
      </c>
      <c r="K395">
        <f t="shared" si="24"/>
        <v>174273.71574623647</v>
      </c>
    </row>
    <row r="396" spans="1:11" x14ac:dyDescent="0.2">
      <c r="A396" s="39"/>
      <c r="B396" s="40"/>
      <c r="C396" s="39"/>
      <c r="J396">
        <f t="shared" si="25"/>
        <v>391</v>
      </c>
      <c r="K396">
        <f t="shared" si="24"/>
        <v>174944.42875381856</v>
      </c>
    </row>
    <row r="397" spans="1:11" x14ac:dyDescent="0.2">
      <c r="A397" s="39"/>
      <c r="B397" s="40"/>
      <c r="C397" s="39"/>
      <c r="J397">
        <f t="shared" si="25"/>
        <v>392</v>
      </c>
      <c r="K397">
        <f t="shared" si="24"/>
        <v>175616.0000000002</v>
      </c>
    </row>
    <row r="398" spans="1:11" x14ac:dyDescent="0.2">
      <c r="A398" s="39"/>
      <c r="B398" s="40"/>
      <c r="C398" s="39"/>
      <c r="J398">
        <f t="shared" si="25"/>
        <v>393</v>
      </c>
      <c r="K398">
        <f t="shared" si="24"/>
        <v>176288.42838938659</v>
      </c>
    </row>
    <row r="399" spans="1:11" x14ac:dyDescent="0.2">
      <c r="A399" s="39"/>
      <c r="B399" s="40"/>
      <c r="C399" s="39"/>
      <c r="J399">
        <f t="shared" si="25"/>
        <v>394</v>
      </c>
      <c r="K399">
        <f t="shared" si="24"/>
        <v>176961.71283077012</v>
      </c>
    </row>
    <row r="400" spans="1:11" x14ac:dyDescent="0.2">
      <c r="A400" s="39"/>
      <c r="B400" s="40"/>
      <c r="C400" s="39"/>
      <c r="J400">
        <f t="shared" si="25"/>
        <v>395</v>
      </c>
      <c r="K400">
        <f t="shared" si="24"/>
        <v>177635.85223709795</v>
      </c>
    </row>
    <row r="401" spans="1:11" x14ac:dyDescent="0.2">
      <c r="A401" s="39"/>
      <c r="B401" s="40"/>
      <c r="C401" s="39"/>
      <c r="J401">
        <f t="shared" si="25"/>
        <v>396</v>
      </c>
      <c r="K401">
        <f t="shared" si="24"/>
        <v>178310.84552544734</v>
      </c>
    </row>
    <row r="402" spans="1:11" x14ac:dyDescent="0.2">
      <c r="A402" s="39"/>
      <c r="B402" s="40"/>
      <c r="C402" s="39"/>
      <c r="J402">
        <f t="shared" si="25"/>
        <v>397</v>
      </c>
      <c r="K402">
        <f t="shared" si="24"/>
        <v>178986.6916170028</v>
      </c>
    </row>
    <row r="403" spans="1:11" x14ac:dyDescent="0.2">
      <c r="A403" s="39"/>
      <c r="B403" s="40"/>
      <c r="C403" s="39"/>
      <c r="J403">
        <f t="shared" si="25"/>
        <v>398</v>
      </c>
      <c r="K403">
        <f t="shared" si="24"/>
        <v>179663.3894370246</v>
      </c>
    </row>
    <row r="404" spans="1:11" x14ac:dyDescent="0.2">
      <c r="A404" s="39"/>
      <c r="B404" s="40"/>
      <c r="C404" s="39"/>
      <c r="J404">
        <f t="shared" si="25"/>
        <v>399</v>
      </c>
      <c r="K404">
        <f t="shared" si="24"/>
        <v>180340.93791482833</v>
      </c>
    </row>
    <row r="405" spans="1:11" x14ac:dyDescent="0.2">
      <c r="A405" s="39"/>
      <c r="B405" s="40"/>
      <c r="C405" s="39"/>
      <c r="J405">
        <f t="shared" si="25"/>
        <v>400</v>
      </c>
      <c r="K405">
        <f t="shared" si="24"/>
        <v>181019.33598375641</v>
      </c>
    </row>
    <row r="406" spans="1:11" x14ac:dyDescent="0.2">
      <c r="A406" s="39"/>
      <c r="B406" s="40"/>
      <c r="C406" s="39"/>
      <c r="J406">
        <f t="shared" si="25"/>
        <v>401</v>
      </c>
      <c r="K406">
        <f t="shared" si="24"/>
        <v>181698.58258115273</v>
      </c>
    </row>
    <row r="407" spans="1:11" x14ac:dyDescent="0.2">
      <c r="A407" s="39"/>
      <c r="B407" s="40"/>
      <c r="C407" s="39"/>
      <c r="J407">
        <f t="shared" si="25"/>
        <v>402</v>
      </c>
      <c r="K407">
        <f t="shared" si="24"/>
        <v>182378.67664834074</v>
      </c>
    </row>
    <row r="408" spans="1:11" x14ac:dyDescent="0.2">
      <c r="A408" s="39"/>
      <c r="B408" s="40"/>
      <c r="C408" s="39"/>
      <c r="J408">
        <f t="shared" si="25"/>
        <v>403</v>
      </c>
      <c r="K408">
        <f t="shared" si="24"/>
        <v>183059.61713059511</v>
      </c>
    </row>
    <row r="409" spans="1:11" x14ac:dyDescent="0.2">
      <c r="A409" s="39"/>
      <c r="B409" s="40"/>
      <c r="C409" s="39"/>
      <c r="J409">
        <f t="shared" si="25"/>
        <v>404</v>
      </c>
      <c r="K409">
        <f t="shared" si="24"/>
        <v>183741.40297711868</v>
      </c>
    </row>
    <row r="410" spans="1:11" x14ac:dyDescent="0.2">
      <c r="A410" s="39"/>
      <c r="B410" s="40"/>
      <c r="C410" s="39"/>
      <c r="J410">
        <f t="shared" si="25"/>
        <v>405</v>
      </c>
      <c r="K410">
        <f t="shared" si="24"/>
        <v>184424.03314102025</v>
      </c>
    </row>
    <row r="411" spans="1:11" x14ac:dyDescent="0.2">
      <c r="A411" s="39"/>
      <c r="B411" s="40"/>
      <c r="C411" s="39"/>
      <c r="J411">
        <f t="shared" si="25"/>
        <v>406</v>
      </c>
      <c r="K411">
        <f t="shared" si="24"/>
        <v>185107.5065792847</v>
      </c>
    </row>
    <row r="412" spans="1:11" x14ac:dyDescent="0.2">
      <c r="A412" s="39"/>
      <c r="B412" s="40"/>
      <c r="C412" s="39"/>
      <c r="J412">
        <f t="shared" si="25"/>
        <v>407</v>
      </c>
      <c r="K412">
        <f t="shared" si="24"/>
        <v>185791.82225275665</v>
      </c>
    </row>
    <row r="413" spans="1:11" x14ac:dyDescent="0.2">
      <c r="A413" s="39"/>
      <c r="B413" s="40"/>
      <c r="C413" s="39"/>
      <c r="J413">
        <f t="shared" si="25"/>
        <v>408</v>
      </c>
      <c r="K413">
        <f t="shared" si="24"/>
        <v>186476.97912611082</v>
      </c>
    </row>
    <row r="414" spans="1:11" x14ac:dyDescent="0.2">
      <c r="A414" s="39"/>
      <c r="B414" s="40"/>
      <c r="C414" s="39"/>
      <c r="J414">
        <f t="shared" si="25"/>
        <v>409</v>
      </c>
      <c r="K414">
        <f t="shared" si="24"/>
        <v>187162.97616783073</v>
      </c>
    </row>
    <row r="415" spans="1:11" x14ac:dyDescent="0.2">
      <c r="A415" s="39"/>
      <c r="B415" s="40"/>
      <c r="C415" s="39"/>
      <c r="J415">
        <f t="shared" si="25"/>
        <v>410</v>
      </c>
      <c r="K415">
        <f t="shared" si="24"/>
        <v>187849.81235018594</v>
      </c>
    </row>
    <row r="416" spans="1:11" x14ac:dyDescent="0.2">
      <c r="A416" s="39"/>
      <c r="B416" s="40"/>
      <c r="C416" s="39"/>
      <c r="J416">
        <f t="shared" si="25"/>
        <v>411</v>
      </c>
      <c r="K416">
        <f t="shared" si="24"/>
        <v>188537.48664920763</v>
      </c>
    </row>
    <row r="417" spans="1:11" x14ac:dyDescent="0.2">
      <c r="A417" s="39"/>
      <c r="B417" s="40"/>
      <c r="C417" s="39"/>
      <c r="J417">
        <f t="shared" si="25"/>
        <v>412</v>
      </c>
      <c r="K417">
        <f t="shared" si="24"/>
        <v>189225.99804466648</v>
      </c>
    </row>
    <row r="418" spans="1:11" x14ac:dyDescent="0.2">
      <c r="A418" s="39"/>
      <c r="B418" s="40"/>
      <c r="C418" s="39"/>
      <c r="J418">
        <f t="shared" si="25"/>
        <v>413</v>
      </c>
      <c r="K418">
        <f t="shared" si="24"/>
        <v>189915.34552005</v>
      </c>
    </row>
    <row r="419" spans="1:11" x14ac:dyDescent="0.2">
      <c r="A419" s="39"/>
      <c r="B419" s="40"/>
      <c r="C419" s="39"/>
      <c r="J419">
        <f t="shared" si="25"/>
        <v>414</v>
      </c>
      <c r="K419">
        <f t="shared" si="24"/>
        <v>190605.52806254048</v>
      </c>
    </row>
    <row r="420" spans="1:11" x14ac:dyDescent="0.2">
      <c r="A420" s="39"/>
      <c r="B420" s="40"/>
      <c r="C420" s="39"/>
      <c r="J420">
        <f t="shared" si="25"/>
        <v>415</v>
      </c>
      <c r="K420">
        <f t="shared" si="24"/>
        <v>191296.54466299171</v>
      </c>
    </row>
    <row r="421" spans="1:11" x14ac:dyDescent="0.2">
      <c r="A421" s="39"/>
      <c r="B421" s="40"/>
      <c r="C421" s="39"/>
      <c r="J421">
        <f t="shared" si="25"/>
        <v>416</v>
      </c>
      <c r="K421">
        <f t="shared" si="24"/>
        <v>191988.39431590657</v>
      </c>
    </row>
    <row r="422" spans="1:11" x14ac:dyDescent="0.2">
      <c r="A422" s="39"/>
      <c r="B422" s="40"/>
      <c r="C422" s="39"/>
      <c r="J422">
        <f t="shared" si="25"/>
        <v>417</v>
      </c>
      <c r="K422">
        <f t="shared" si="24"/>
        <v>192681.07601941575</v>
      </c>
    </row>
    <row r="423" spans="1:11" x14ac:dyDescent="0.2">
      <c r="A423" s="39"/>
      <c r="B423" s="40"/>
      <c r="C423" s="39"/>
      <c r="J423">
        <f t="shared" si="25"/>
        <v>418</v>
      </c>
      <c r="K423">
        <f t="shared" si="24"/>
        <v>193374.58877525773</v>
      </c>
    </row>
    <row r="424" spans="1:11" x14ac:dyDescent="0.2">
      <c r="A424" s="39"/>
      <c r="B424" s="40"/>
      <c r="C424" s="39"/>
      <c r="J424">
        <f t="shared" si="25"/>
        <v>419</v>
      </c>
      <c r="K424">
        <f t="shared" si="24"/>
        <v>194068.93158875284</v>
      </c>
    </row>
    <row r="425" spans="1:11" x14ac:dyDescent="0.2">
      <c r="A425" s="39"/>
      <c r="B425" s="40"/>
      <c r="C425" s="39"/>
      <c r="J425">
        <f t="shared" si="25"/>
        <v>420</v>
      </c>
      <c r="K425">
        <f t="shared" si="24"/>
        <v>194764.10346878602</v>
      </c>
    </row>
    <row r="426" spans="1:11" x14ac:dyDescent="0.2">
      <c r="A426" s="39"/>
      <c r="B426" s="40"/>
      <c r="C426" s="39"/>
      <c r="J426">
        <f t="shared" si="25"/>
        <v>421</v>
      </c>
      <c r="K426">
        <f t="shared" si="24"/>
        <v>195460.10342778394</v>
      </c>
    </row>
    <row r="427" spans="1:11" x14ac:dyDescent="0.2">
      <c r="A427" s="39"/>
      <c r="B427" s="40"/>
      <c r="C427" s="39"/>
      <c r="J427">
        <f t="shared" si="25"/>
        <v>422</v>
      </c>
      <c r="K427">
        <f t="shared" si="24"/>
        <v>196156.93048169374</v>
      </c>
    </row>
    <row r="428" spans="1:11" x14ac:dyDescent="0.2">
      <c r="A428" s="39"/>
      <c r="B428" s="40"/>
      <c r="C428" s="39"/>
      <c r="J428">
        <f t="shared" si="25"/>
        <v>423</v>
      </c>
      <c r="K428">
        <f t="shared" si="24"/>
        <v>196854.58364996241</v>
      </c>
    </row>
    <row r="429" spans="1:11" x14ac:dyDescent="0.2">
      <c r="A429" s="39"/>
      <c r="B429" s="40"/>
      <c r="C429" s="39"/>
      <c r="J429">
        <f t="shared" si="25"/>
        <v>424</v>
      </c>
      <c r="K429">
        <f t="shared" si="24"/>
        <v>197553.06195551594</v>
      </c>
    </row>
    <row r="430" spans="1:11" x14ac:dyDescent="0.2">
      <c r="A430" s="39"/>
      <c r="B430" s="40"/>
      <c r="C430" s="39"/>
      <c r="J430">
        <f t="shared" si="25"/>
        <v>425</v>
      </c>
      <c r="K430">
        <f t="shared" si="24"/>
        <v>198252.36442474014</v>
      </c>
    </row>
    <row r="431" spans="1:11" x14ac:dyDescent="0.2">
      <c r="A431" s="39"/>
      <c r="B431" s="40"/>
      <c r="C431" s="39"/>
      <c r="J431">
        <f t="shared" si="25"/>
        <v>426</v>
      </c>
      <c r="K431">
        <f t="shared" si="24"/>
        <v>198952.49008745802</v>
      </c>
    </row>
    <row r="432" spans="1:11" x14ac:dyDescent="0.2">
      <c r="A432" s="39"/>
      <c r="B432" s="40"/>
      <c r="C432" s="39"/>
      <c r="J432">
        <f t="shared" si="25"/>
        <v>427</v>
      </c>
      <c r="K432">
        <f t="shared" si="24"/>
        <v>199653.43797691027</v>
      </c>
    </row>
    <row r="433" spans="1:11" x14ac:dyDescent="0.2">
      <c r="A433" s="39"/>
      <c r="B433" s="40"/>
      <c r="C433" s="39"/>
      <c r="J433">
        <f t="shared" si="25"/>
        <v>428</v>
      </c>
      <c r="K433">
        <f t="shared" si="24"/>
        <v>200355.20712973722</v>
      </c>
    </row>
    <row r="434" spans="1:11" x14ac:dyDescent="0.2">
      <c r="A434" s="39"/>
      <c r="B434" s="40"/>
      <c r="C434" s="39"/>
      <c r="J434">
        <f t="shared" si="25"/>
        <v>429</v>
      </c>
      <c r="K434">
        <f t="shared" si="24"/>
        <v>201057.79658595682</v>
      </c>
    </row>
    <row r="435" spans="1:11" x14ac:dyDescent="0.2">
      <c r="A435" s="39"/>
      <c r="B435" s="40"/>
      <c r="C435" s="39"/>
      <c r="J435">
        <f t="shared" si="25"/>
        <v>430</v>
      </c>
      <c r="K435">
        <f t="shared" si="24"/>
        <v>201761.20538894497</v>
      </c>
    </row>
    <row r="436" spans="1:11" x14ac:dyDescent="0.2">
      <c r="A436" s="39"/>
      <c r="B436" s="40"/>
      <c r="C436" s="39"/>
      <c r="J436">
        <f t="shared" si="25"/>
        <v>431</v>
      </c>
      <c r="K436">
        <f t="shared" si="24"/>
        <v>202465.43258541715</v>
      </c>
    </row>
    <row r="437" spans="1:11" x14ac:dyDescent="0.2">
      <c r="A437" s="39"/>
      <c r="B437" s="40"/>
      <c r="C437" s="39"/>
      <c r="J437">
        <f t="shared" si="25"/>
        <v>432</v>
      </c>
      <c r="K437">
        <f t="shared" si="24"/>
        <v>203170.47722540831</v>
      </c>
    </row>
    <row r="438" spans="1:11" x14ac:dyDescent="0.2">
      <c r="A438" s="39"/>
      <c r="B438" s="40"/>
      <c r="C438" s="39"/>
      <c r="J438">
        <f t="shared" si="25"/>
        <v>433</v>
      </c>
      <c r="K438">
        <f t="shared" si="24"/>
        <v>203876.33836225333</v>
      </c>
    </row>
    <row r="439" spans="1:11" x14ac:dyDescent="0.2">
      <c r="A439" s="39"/>
      <c r="B439" s="40"/>
      <c r="C439" s="39"/>
      <c r="J439">
        <f t="shared" si="25"/>
        <v>434</v>
      </c>
      <c r="K439">
        <f t="shared" si="24"/>
        <v>204583.01505256986</v>
      </c>
    </row>
    <row r="440" spans="1:11" x14ac:dyDescent="0.2">
      <c r="A440" s="39"/>
      <c r="B440" s="40"/>
      <c r="C440" s="39"/>
      <c r="J440">
        <f t="shared" si="25"/>
        <v>435</v>
      </c>
      <c r="K440">
        <f t="shared" si="24"/>
        <v>205290.50635623641</v>
      </c>
    </row>
    <row r="441" spans="1:11" x14ac:dyDescent="0.2">
      <c r="J441">
        <f t="shared" si="25"/>
        <v>436</v>
      </c>
      <c r="K441">
        <f t="shared" si="24"/>
        <v>205998.81133637647</v>
      </c>
    </row>
    <row r="442" spans="1:11" x14ac:dyDescent="0.2">
      <c r="J442">
        <f t="shared" si="25"/>
        <v>437</v>
      </c>
      <c r="K442">
        <f t="shared" si="24"/>
        <v>206707.92905933727</v>
      </c>
    </row>
    <row r="443" spans="1:11" x14ac:dyDescent="0.2">
      <c r="J443">
        <f t="shared" si="25"/>
        <v>438</v>
      </c>
      <c r="K443">
        <f t="shared" si="24"/>
        <v>207417.85859467345</v>
      </c>
    </row>
    <row r="444" spans="1:11" x14ac:dyDescent="0.2">
      <c r="J444">
        <f t="shared" si="25"/>
        <v>439</v>
      </c>
      <c r="K444">
        <f t="shared" si="24"/>
        <v>208128.59901512845</v>
      </c>
    </row>
    <row r="445" spans="1:11" x14ac:dyDescent="0.2">
      <c r="J445">
        <f t="shared" si="25"/>
        <v>440</v>
      </c>
      <c r="K445">
        <f t="shared" si="24"/>
        <v>208840.14939661365</v>
      </c>
    </row>
    <row r="446" spans="1:11" x14ac:dyDescent="0.2">
      <c r="J446">
        <f t="shared" si="25"/>
        <v>441</v>
      </c>
      <c r="K446">
        <f t="shared" si="24"/>
        <v>209552.50881819573</v>
      </c>
    </row>
    <row r="447" spans="1:11" x14ac:dyDescent="0.2">
      <c r="J447">
        <f t="shared" si="25"/>
        <v>442</v>
      </c>
      <c r="K447">
        <f t="shared" si="24"/>
        <v>210265.67636207302</v>
      </c>
    </row>
    <row r="448" spans="1:11" x14ac:dyDescent="0.2">
      <c r="J448">
        <f t="shared" si="25"/>
        <v>443</v>
      </c>
      <c r="K448">
        <f t="shared" si="24"/>
        <v>210979.65111356147</v>
      </c>
    </row>
    <row r="449" spans="10:11" x14ac:dyDescent="0.2">
      <c r="J449">
        <f t="shared" si="25"/>
        <v>444</v>
      </c>
      <c r="K449">
        <f t="shared" si="24"/>
        <v>211694.43216107463</v>
      </c>
    </row>
    <row r="450" spans="10:11" x14ac:dyDescent="0.2">
      <c r="J450">
        <f t="shared" si="25"/>
        <v>445</v>
      </c>
      <c r="K450">
        <f t="shared" si="24"/>
        <v>212410.01859611025</v>
      </c>
    </row>
    <row r="451" spans="10:11" x14ac:dyDescent="0.2">
      <c r="J451">
        <f t="shared" si="25"/>
        <v>446</v>
      </c>
      <c r="K451">
        <f t="shared" si="24"/>
        <v>213126.40951322758</v>
      </c>
    </row>
    <row r="452" spans="10:11" x14ac:dyDescent="0.2">
      <c r="J452">
        <f t="shared" si="25"/>
        <v>447</v>
      </c>
      <c r="K452">
        <f t="shared" si="24"/>
        <v>213843.60401003386</v>
      </c>
    </row>
    <row r="453" spans="10:11" x14ac:dyDescent="0.2">
      <c r="J453">
        <f t="shared" si="25"/>
        <v>448</v>
      </c>
      <c r="K453">
        <f t="shared" si="24"/>
        <v>214561.60118716481</v>
      </c>
    </row>
    <row r="454" spans="10:11" x14ac:dyDescent="0.2">
      <c r="J454">
        <f t="shared" si="25"/>
        <v>449</v>
      </c>
      <c r="K454">
        <f t="shared" si="24"/>
        <v>215280.40014827182</v>
      </c>
    </row>
    <row r="455" spans="10:11" x14ac:dyDescent="0.2">
      <c r="J455">
        <f t="shared" si="25"/>
        <v>450</v>
      </c>
      <c r="K455">
        <f t="shared" ref="K455:K518" si="26">(8*J455)^(3/2)</f>
        <v>215999.99999999962</v>
      </c>
    </row>
    <row r="456" spans="10:11" x14ac:dyDescent="0.2">
      <c r="J456">
        <f t="shared" ref="J456:J460" si="27">J455+1</f>
        <v>451</v>
      </c>
      <c r="K456">
        <f t="shared" si="26"/>
        <v>216720.39985197486</v>
      </c>
    </row>
    <row r="457" spans="10:11" x14ac:dyDescent="0.2">
      <c r="J457">
        <f t="shared" si="27"/>
        <v>452</v>
      </c>
      <c r="K457">
        <f t="shared" si="26"/>
        <v>217441.59881678617</v>
      </c>
    </row>
    <row r="458" spans="10:11" x14ac:dyDescent="0.2">
      <c r="J458">
        <f t="shared" si="27"/>
        <v>453</v>
      </c>
      <c r="K458">
        <f t="shared" si="26"/>
        <v>218163.59600996698</v>
      </c>
    </row>
    <row r="459" spans="10:11" x14ac:dyDescent="0.2">
      <c r="J459">
        <f t="shared" si="27"/>
        <v>454</v>
      </c>
      <c r="K459">
        <f t="shared" si="26"/>
        <v>218886.39054998383</v>
      </c>
    </row>
    <row r="460" spans="10:11" x14ac:dyDescent="0.2">
      <c r="J460">
        <f t="shared" si="27"/>
        <v>455</v>
      </c>
      <c r="K460">
        <f t="shared" si="26"/>
        <v>219609.9815582158</v>
      </c>
    </row>
    <row r="461" spans="10:11" x14ac:dyDescent="0.2">
      <c r="J461">
        <f>J460+10</f>
        <v>465</v>
      </c>
      <c r="K461">
        <f t="shared" si="26"/>
        <v>226889.50614781611</v>
      </c>
    </row>
    <row r="462" spans="10:11" x14ac:dyDescent="0.2">
      <c r="J462">
        <f t="shared" ref="J462:J525" si="28">J461+10</f>
        <v>475</v>
      </c>
      <c r="K462">
        <f t="shared" si="26"/>
        <v>234247.73211282142</v>
      </c>
    </row>
    <row r="463" spans="10:11" x14ac:dyDescent="0.2">
      <c r="J463">
        <f t="shared" si="28"/>
        <v>485</v>
      </c>
      <c r="K463">
        <f t="shared" si="26"/>
        <v>241683.82651720784</v>
      </c>
    </row>
    <row r="464" spans="10:11" x14ac:dyDescent="0.2">
      <c r="J464">
        <f t="shared" si="28"/>
        <v>495</v>
      </c>
      <c r="K464">
        <f t="shared" si="26"/>
        <v>249196.98232522834</v>
      </c>
    </row>
    <row r="465" spans="10:11" x14ac:dyDescent="0.2">
      <c r="J465">
        <f t="shared" si="28"/>
        <v>505</v>
      </c>
      <c r="K465">
        <f t="shared" si="26"/>
        <v>256786.41708626281</v>
      </c>
    </row>
    <row r="466" spans="10:11" x14ac:dyDescent="0.2">
      <c r="J466">
        <f t="shared" si="28"/>
        <v>515</v>
      </c>
      <c r="K466">
        <f t="shared" si="26"/>
        <v>264451.37171132246</v>
      </c>
    </row>
    <row r="467" spans="10:11" x14ac:dyDescent="0.2">
      <c r="J467">
        <f t="shared" si="28"/>
        <v>525</v>
      </c>
      <c r="K467">
        <f t="shared" si="26"/>
        <v>272191.10933313018</v>
      </c>
    </row>
    <row r="468" spans="10:11" x14ac:dyDescent="0.2">
      <c r="J468">
        <f t="shared" si="28"/>
        <v>535</v>
      </c>
      <c r="K468">
        <f t="shared" si="26"/>
        <v>280004.9142425899</v>
      </c>
    </row>
    <row r="469" spans="10:11" x14ac:dyDescent="0.2">
      <c r="J469">
        <f t="shared" si="28"/>
        <v>545</v>
      </c>
      <c r="K469">
        <f t="shared" si="26"/>
        <v>287892.09089518216</v>
      </c>
    </row>
    <row r="470" spans="10:11" x14ac:dyDescent="0.2">
      <c r="J470">
        <f t="shared" si="28"/>
        <v>555</v>
      </c>
      <c r="K470">
        <f t="shared" si="26"/>
        <v>295851.9629814885</v>
      </c>
    </row>
    <row r="471" spans="10:11" x14ac:dyDescent="0.2">
      <c r="J471">
        <f t="shared" si="28"/>
        <v>565</v>
      </c>
      <c r="K471">
        <f t="shared" si="26"/>
        <v>303883.87255660689</v>
      </c>
    </row>
    <row r="472" spans="10:11" x14ac:dyDescent="0.2">
      <c r="J472">
        <f t="shared" si="28"/>
        <v>575</v>
      </c>
      <c r="K472">
        <f t="shared" si="26"/>
        <v>311987.17922376259</v>
      </c>
    </row>
    <row r="473" spans="10:11" x14ac:dyDescent="0.2">
      <c r="J473">
        <f t="shared" si="28"/>
        <v>585</v>
      </c>
      <c r="K473">
        <f t="shared" si="26"/>
        <v>320161.2593678378</v>
      </c>
    </row>
    <row r="474" spans="10:11" x14ac:dyDescent="0.2">
      <c r="J474">
        <f t="shared" si="28"/>
        <v>595</v>
      </c>
      <c r="K474">
        <f t="shared" si="26"/>
        <v>328405.50543497346</v>
      </c>
    </row>
    <row r="475" spans="10:11" x14ac:dyDescent="0.2">
      <c r="J475">
        <f t="shared" si="28"/>
        <v>605</v>
      </c>
      <c r="K475">
        <f t="shared" si="26"/>
        <v>336719.32525472919</v>
      </c>
    </row>
    <row r="476" spans="10:11" x14ac:dyDescent="0.2">
      <c r="J476">
        <f t="shared" si="28"/>
        <v>615</v>
      </c>
      <c r="K476">
        <f t="shared" si="26"/>
        <v>345102.14140164357</v>
      </c>
    </row>
    <row r="477" spans="10:11" x14ac:dyDescent="0.2">
      <c r="J477">
        <f t="shared" si="28"/>
        <v>625</v>
      </c>
      <c r="K477">
        <f t="shared" si="26"/>
        <v>353553.39059327386</v>
      </c>
    </row>
    <row r="478" spans="10:11" x14ac:dyDescent="0.2">
      <c r="J478">
        <f t="shared" si="28"/>
        <v>635</v>
      </c>
      <c r="K478">
        <f t="shared" si="26"/>
        <v>362072.52312209469</v>
      </c>
    </row>
    <row r="479" spans="10:11" x14ac:dyDescent="0.2">
      <c r="J479">
        <f t="shared" si="28"/>
        <v>645</v>
      </c>
      <c r="K479">
        <f t="shared" si="26"/>
        <v>370659.00231884338</v>
      </c>
    </row>
    <row r="480" spans="10:11" x14ac:dyDescent="0.2">
      <c r="J480">
        <f t="shared" si="28"/>
        <v>655</v>
      </c>
      <c r="K480">
        <f t="shared" si="26"/>
        <v>379312.30404509639</v>
      </c>
    </row>
    <row r="481" spans="10:11" x14ac:dyDescent="0.2">
      <c r="J481">
        <f t="shared" si="28"/>
        <v>665</v>
      </c>
      <c r="K481">
        <f t="shared" si="26"/>
        <v>388031.91621308681</v>
      </c>
    </row>
    <row r="482" spans="10:11" x14ac:dyDescent="0.2">
      <c r="J482">
        <f t="shared" si="28"/>
        <v>675</v>
      </c>
      <c r="K482">
        <f t="shared" si="26"/>
        <v>396817.33833087521</v>
      </c>
    </row>
    <row r="483" spans="10:11" x14ac:dyDescent="0.2">
      <c r="J483">
        <f t="shared" si="28"/>
        <v>685</v>
      </c>
      <c r="K483">
        <f t="shared" si="26"/>
        <v>405668.08107121306</v>
      </c>
    </row>
    <row r="484" spans="10:11" x14ac:dyDescent="0.2">
      <c r="J484">
        <f t="shared" si="28"/>
        <v>695</v>
      </c>
      <c r="K484">
        <f t="shared" si="26"/>
        <v>414583.66586251272</v>
      </c>
    </row>
    <row r="485" spans="10:11" x14ac:dyDescent="0.2">
      <c r="J485">
        <f t="shared" si="28"/>
        <v>705</v>
      </c>
      <c r="K485">
        <f t="shared" si="26"/>
        <v>423563.62450049911</v>
      </c>
    </row>
    <row r="486" spans="10:11" x14ac:dyDescent="0.2">
      <c r="J486">
        <f t="shared" si="28"/>
        <v>715</v>
      </c>
      <c r="K486">
        <f t="shared" si="26"/>
        <v>432607.49877920462</v>
      </c>
    </row>
    <row r="487" spans="10:11" x14ac:dyDescent="0.2">
      <c r="J487">
        <f t="shared" si="28"/>
        <v>725</v>
      </c>
      <c r="K487">
        <f t="shared" si="26"/>
        <v>441714.84014010662</v>
      </c>
    </row>
    <row r="488" spans="10:11" x14ac:dyDescent="0.2">
      <c r="J488">
        <f t="shared" si="28"/>
        <v>735</v>
      </c>
      <c r="K488">
        <f t="shared" si="26"/>
        <v>450885.2093382522</v>
      </c>
    </row>
    <row r="489" spans="10:11" x14ac:dyDescent="0.2">
      <c r="J489">
        <f t="shared" si="28"/>
        <v>745</v>
      </c>
      <c r="K489">
        <f t="shared" si="26"/>
        <v>460118.17612435209</v>
      </c>
    </row>
    <row r="490" spans="10:11" x14ac:dyDescent="0.2">
      <c r="J490">
        <f t="shared" si="28"/>
        <v>755</v>
      </c>
      <c r="K490">
        <f t="shared" si="26"/>
        <v>469413.31894184748</v>
      </c>
    </row>
    <row r="491" spans="10:11" x14ac:dyDescent="0.2">
      <c r="J491">
        <f t="shared" si="28"/>
        <v>765</v>
      </c>
      <c r="K491">
        <f t="shared" si="26"/>
        <v>478770.22463808203</v>
      </c>
    </row>
    <row r="492" spans="10:11" x14ac:dyDescent="0.2">
      <c r="J492">
        <f t="shared" si="28"/>
        <v>775</v>
      </c>
      <c r="K492">
        <f t="shared" si="26"/>
        <v>488188.48818873201</v>
      </c>
    </row>
    <row r="493" spans="10:11" x14ac:dyDescent="0.2">
      <c r="J493">
        <f t="shared" si="28"/>
        <v>785</v>
      </c>
      <c r="K493">
        <f t="shared" si="26"/>
        <v>497667.71243471262</v>
      </c>
    </row>
    <row r="494" spans="10:11" x14ac:dyDescent="0.2">
      <c r="J494">
        <f t="shared" si="28"/>
        <v>795</v>
      </c>
      <c r="K494">
        <f t="shared" si="26"/>
        <v>507207.50783086714</v>
      </c>
    </row>
    <row r="495" spans="10:11" x14ac:dyDescent="0.2">
      <c r="J495">
        <f t="shared" si="28"/>
        <v>805</v>
      </c>
      <c r="K495">
        <f t="shared" si="26"/>
        <v>516807.49220575328</v>
      </c>
    </row>
    <row r="496" spans="10:11" x14ac:dyDescent="0.2">
      <c r="J496">
        <f t="shared" si="28"/>
        <v>815</v>
      </c>
      <c r="K496">
        <f t="shared" si="26"/>
        <v>526467.29053190083</v>
      </c>
    </row>
    <row r="497" spans="10:11" x14ac:dyDescent="0.2">
      <c r="J497">
        <f t="shared" si="28"/>
        <v>825</v>
      </c>
      <c r="K497">
        <f t="shared" si="26"/>
        <v>536186.53470597346</v>
      </c>
    </row>
    <row r="498" spans="10:11" x14ac:dyDescent="0.2">
      <c r="J498">
        <f t="shared" si="28"/>
        <v>835</v>
      </c>
      <c r="K498">
        <f t="shared" si="26"/>
        <v>545964.86333829223</v>
      </c>
    </row>
    <row r="499" spans="10:11" x14ac:dyDescent="0.2">
      <c r="J499">
        <f t="shared" si="28"/>
        <v>845</v>
      </c>
      <c r="K499">
        <f t="shared" si="26"/>
        <v>555801.92155119474</v>
      </c>
    </row>
    <row r="500" spans="10:11" x14ac:dyDescent="0.2">
      <c r="J500">
        <f t="shared" si="28"/>
        <v>855</v>
      </c>
      <c r="K500">
        <f t="shared" si="26"/>
        <v>565697.36078578315</v>
      </c>
    </row>
    <row r="501" spans="10:11" x14ac:dyDescent="0.2">
      <c r="J501">
        <f t="shared" si="28"/>
        <v>865</v>
      </c>
      <c r="K501">
        <f t="shared" si="26"/>
        <v>575650.83861660457</v>
      </c>
    </row>
    <row r="502" spans="10:11" x14ac:dyDescent="0.2">
      <c r="J502">
        <f t="shared" si="28"/>
        <v>875</v>
      </c>
      <c r="K502">
        <f t="shared" si="26"/>
        <v>585662.01857385226</v>
      </c>
    </row>
    <row r="503" spans="10:11" x14ac:dyDescent="0.2">
      <c r="J503">
        <f t="shared" si="28"/>
        <v>885</v>
      </c>
      <c r="K503">
        <f t="shared" si="26"/>
        <v>595730.5699727023</v>
      </c>
    </row>
    <row r="504" spans="10:11" x14ac:dyDescent="0.2">
      <c r="J504">
        <f t="shared" si="28"/>
        <v>895</v>
      </c>
      <c r="K504">
        <f t="shared" si="26"/>
        <v>605856.16774940793</v>
      </c>
    </row>
    <row r="505" spans="10:11" x14ac:dyDescent="0.2">
      <c r="J505">
        <f t="shared" si="28"/>
        <v>905</v>
      </c>
      <c r="K505">
        <f t="shared" si="26"/>
        <v>616038.49230385071</v>
      </c>
    </row>
    <row r="506" spans="10:11" x14ac:dyDescent="0.2">
      <c r="J506">
        <f t="shared" si="28"/>
        <v>915</v>
      </c>
      <c r="K506">
        <f t="shared" si="26"/>
        <v>626277.22934815311</v>
      </c>
    </row>
    <row r="507" spans="10:11" x14ac:dyDescent="0.2">
      <c r="J507">
        <f t="shared" si="28"/>
        <v>925</v>
      </c>
      <c r="K507">
        <f t="shared" si="26"/>
        <v>636572.06976115494</v>
      </c>
    </row>
    <row r="508" spans="10:11" x14ac:dyDescent="0.2">
      <c r="J508">
        <f t="shared" si="28"/>
        <v>935</v>
      </c>
      <c r="K508">
        <f t="shared" si="26"/>
        <v>646922.7094483556</v>
      </c>
    </row>
    <row r="509" spans="10:11" x14ac:dyDescent="0.2">
      <c r="J509">
        <f t="shared" si="28"/>
        <v>945</v>
      </c>
      <c r="K509">
        <f t="shared" si="26"/>
        <v>657328.84920715261</v>
      </c>
    </row>
    <row r="510" spans="10:11" x14ac:dyDescent="0.2">
      <c r="J510">
        <f t="shared" si="28"/>
        <v>955</v>
      </c>
      <c r="K510">
        <f t="shared" si="26"/>
        <v>667790.19459707499</v>
      </c>
    </row>
    <row r="511" spans="10:11" x14ac:dyDescent="0.2">
      <c r="J511">
        <f t="shared" si="28"/>
        <v>965</v>
      </c>
      <c r="K511">
        <f t="shared" si="26"/>
        <v>678306.45581477357</v>
      </c>
    </row>
    <row r="512" spans="10:11" x14ac:dyDescent="0.2">
      <c r="J512">
        <f t="shared" si="28"/>
        <v>975</v>
      </c>
      <c r="K512">
        <f t="shared" si="26"/>
        <v>688877.34757357091</v>
      </c>
    </row>
    <row r="513" spans="10:11" x14ac:dyDescent="0.2">
      <c r="J513">
        <f t="shared" si="28"/>
        <v>985</v>
      </c>
      <c r="K513">
        <f t="shared" si="26"/>
        <v>699502.58898734651</v>
      </c>
    </row>
    <row r="514" spans="10:11" x14ac:dyDescent="0.2">
      <c r="J514">
        <f t="shared" si="28"/>
        <v>995</v>
      </c>
      <c r="K514">
        <f t="shared" si="26"/>
        <v>710181.90345854289</v>
      </c>
    </row>
    <row r="515" spans="10:11" x14ac:dyDescent="0.2">
      <c r="J515">
        <f t="shared" si="28"/>
        <v>1005</v>
      </c>
      <c r="K515">
        <f t="shared" si="26"/>
        <v>720915.01857014897</v>
      </c>
    </row>
    <row r="516" spans="10:11" x14ac:dyDescent="0.2">
      <c r="J516">
        <f t="shared" si="28"/>
        <v>1015</v>
      </c>
      <c r="K516">
        <f t="shared" si="26"/>
        <v>731701.66598143009</v>
      </c>
    </row>
    <row r="517" spans="10:11" x14ac:dyDescent="0.2">
      <c r="J517">
        <f t="shared" si="28"/>
        <v>1025</v>
      </c>
      <c r="K517">
        <f t="shared" si="26"/>
        <v>742541.58132726862</v>
      </c>
    </row>
    <row r="518" spans="10:11" x14ac:dyDescent="0.2">
      <c r="J518">
        <f t="shared" si="28"/>
        <v>1035</v>
      </c>
      <c r="K518">
        <f t="shared" si="26"/>
        <v>753434.50412096223</v>
      </c>
    </row>
    <row r="519" spans="10:11" x14ac:dyDescent="0.2">
      <c r="J519">
        <f t="shared" si="28"/>
        <v>1045</v>
      </c>
      <c r="K519">
        <f t="shared" ref="K519:K582" si="29">(8*J519)^(3/2)</f>
        <v>764380.1776603054</v>
      </c>
    </row>
    <row r="520" spans="10:11" x14ac:dyDescent="0.2">
      <c r="J520">
        <f t="shared" si="28"/>
        <v>1055</v>
      </c>
      <c r="K520">
        <f t="shared" si="29"/>
        <v>775378.34893682844</v>
      </c>
    </row>
    <row r="521" spans="10:11" x14ac:dyDescent="0.2">
      <c r="J521">
        <f t="shared" si="28"/>
        <v>1065</v>
      </c>
      <c r="K521">
        <f t="shared" si="29"/>
        <v>786428.76854804903</v>
      </c>
    </row>
    <row r="522" spans="10:11" x14ac:dyDescent="0.2">
      <c r="J522">
        <f t="shared" si="28"/>
        <v>1075</v>
      </c>
      <c r="K522">
        <f t="shared" si="29"/>
        <v>797531.19061263057</v>
      </c>
    </row>
    <row r="523" spans="10:11" x14ac:dyDescent="0.2">
      <c r="J523">
        <f t="shared" si="28"/>
        <v>1085</v>
      </c>
      <c r="K523">
        <f t="shared" si="29"/>
        <v>808685.37268829229</v>
      </c>
    </row>
    <row r="524" spans="10:11" x14ac:dyDescent="0.2">
      <c r="J524">
        <f t="shared" si="28"/>
        <v>1095</v>
      </c>
      <c r="K524">
        <f t="shared" si="29"/>
        <v>819891.07569237577</v>
      </c>
    </row>
    <row r="525" spans="10:11" x14ac:dyDescent="0.2">
      <c r="J525">
        <f t="shared" si="28"/>
        <v>1105</v>
      </c>
      <c r="K525">
        <f t="shared" si="29"/>
        <v>831148.06382497225</v>
      </c>
    </row>
    <row r="526" spans="10:11" x14ac:dyDescent="0.2">
      <c r="J526">
        <f t="shared" ref="J526:J549" si="30">J525+10</f>
        <v>1115</v>
      </c>
      <c r="K526">
        <f t="shared" si="29"/>
        <v>842456.1044944711</v>
      </c>
    </row>
    <row r="527" spans="10:11" x14ac:dyDescent="0.2">
      <c r="J527">
        <f t="shared" si="30"/>
        <v>1125</v>
      </c>
      <c r="K527">
        <f t="shared" si="29"/>
        <v>853814.96824546217</v>
      </c>
    </row>
    <row r="528" spans="10:11" x14ac:dyDescent="0.2">
      <c r="J528">
        <f t="shared" si="30"/>
        <v>1135</v>
      </c>
      <c r="K528">
        <f t="shared" si="29"/>
        <v>865224.42868888227</v>
      </c>
    </row>
    <row r="529" spans="10:11" x14ac:dyDescent="0.2">
      <c r="J529">
        <f t="shared" si="30"/>
        <v>1145</v>
      </c>
      <c r="K529">
        <f t="shared" si="29"/>
        <v>876684.26243431738</v>
      </c>
    </row>
    <row r="530" spans="10:11" x14ac:dyDescent="0.2">
      <c r="J530">
        <f t="shared" si="30"/>
        <v>1155</v>
      </c>
      <c r="K530">
        <f t="shared" si="29"/>
        <v>888194.24902438885</v>
      </c>
    </row>
    <row r="531" spans="10:11" x14ac:dyDescent="0.2">
      <c r="J531">
        <f t="shared" si="30"/>
        <v>1165</v>
      </c>
      <c r="K531">
        <f t="shared" si="29"/>
        <v>899754.17087113217</v>
      </c>
    </row>
    <row r="532" spans="10:11" x14ac:dyDescent="0.2">
      <c r="J532">
        <f t="shared" si="30"/>
        <v>1175</v>
      </c>
      <c r="K532">
        <f t="shared" si="29"/>
        <v>911363.81319426838</v>
      </c>
    </row>
    <row r="533" spans="10:11" x14ac:dyDescent="0.2">
      <c r="J533">
        <f t="shared" si="30"/>
        <v>1185</v>
      </c>
      <c r="K533">
        <f t="shared" si="29"/>
        <v>923022.96396135213</v>
      </c>
    </row>
    <row r="534" spans="10:11" x14ac:dyDescent="0.2">
      <c r="J534">
        <f t="shared" si="30"/>
        <v>1195</v>
      </c>
      <c r="K534">
        <f t="shared" si="29"/>
        <v>934731.41382966237</v>
      </c>
    </row>
    <row r="535" spans="10:11" x14ac:dyDescent="0.2">
      <c r="J535">
        <f t="shared" si="30"/>
        <v>1205</v>
      </c>
      <c r="K535">
        <f t="shared" si="29"/>
        <v>946488.95608982048</v>
      </c>
    </row>
    <row r="536" spans="10:11" x14ac:dyDescent="0.2">
      <c r="J536">
        <f t="shared" si="30"/>
        <v>1215</v>
      </c>
      <c r="K536">
        <f t="shared" si="29"/>
        <v>958295.38661103894</v>
      </c>
    </row>
    <row r="537" spans="10:11" x14ac:dyDescent="0.2">
      <c r="J537">
        <f t="shared" si="30"/>
        <v>1225</v>
      </c>
      <c r="K537">
        <f t="shared" si="29"/>
        <v>970150.50378794444</v>
      </c>
    </row>
    <row r="538" spans="10:11" x14ac:dyDescent="0.2">
      <c r="J538">
        <f t="shared" si="30"/>
        <v>1235</v>
      </c>
      <c r="K538">
        <f t="shared" si="29"/>
        <v>982054.10848893668</v>
      </c>
    </row>
    <row r="539" spans="10:11" x14ac:dyDescent="0.2">
      <c r="J539">
        <f t="shared" si="30"/>
        <v>1245</v>
      </c>
      <c r="K539">
        <f t="shared" si="29"/>
        <v>994006.00400601188</v>
      </c>
    </row>
    <row r="540" spans="10:11" x14ac:dyDescent="0.2">
      <c r="J540">
        <f t="shared" si="30"/>
        <v>1255</v>
      </c>
      <c r="K540">
        <f t="shared" si="29"/>
        <v>1006005.9960059902</v>
      </c>
    </row>
    <row r="541" spans="10:11" x14ac:dyDescent="0.2">
      <c r="J541">
        <f t="shared" si="30"/>
        <v>1265</v>
      </c>
      <c r="K541">
        <f t="shared" si="29"/>
        <v>1018053.8924831037</v>
      </c>
    </row>
    <row r="542" spans="10:11" x14ac:dyDescent="0.2">
      <c r="J542">
        <f t="shared" si="30"/>
        <v>1275</v>
      </c>
      <c r="K542">
        <f t="shared" si="29"/>
        <v>1030149.5037129315</v>
      </c>
    </row>
    <row r="543" spans="10:11" x14ac:dyDescent="0.2">
      <c r="J543">
        <f t="shared" si="30"/>
        <v>1285</v>
      </c>
      <c r="K543">
        <f t="shared" si="29"/>
        <v>1042292.642207553</v>
      </c>
    </row>
    <row r="544" spans="10:11" x14ac:dyDescent="0.2">
      <c r="J544">
        <f t="shared" si="30"/>
        <v>1295</v>
      </c>
      <c r="K544">
        <f t="shared" si="29"/>
        <v>1054483.1226719557</v>
      </c>
    </row>
    <row r="545" spans="10:11" x14ac:dyDescent="0.2">
      <c r="J545">
        <f t="shared" si="30"/>
        <v>1305</v>
      </c>
      <c r="K545">
        <f t="shared" si="29"/>
        <v>1066720.7619616308</v>
      </c>
    </row>
    <row r="546" spans="10:11" x14ac:dyDescent="0.2">
      <c r="J546">
        <f t="shared" si="30"/>
        <v>1315</v>
      </c>
      <c r="K546">
        <f t="shared" si="29"/>
        <v>1079005.3790412734</v>
      </c>
    </row>
    <row r="547" spans="10:11" x14ac:dyDescent="0.2">
      <c r="J547">
        <f t="shared" si="30"/>
        <v>1325</v>
      </c>
      <c r="K547">
        <f t="shared" si="29"/>
        <v>1091336.7949446209</v>
      </c>
    </row>
    <row r="548" spans="10:11" x14ac:dyDescent="0.2">
      <c r="J548">
        <f t="shared" si="30"/>
        <v>1335</v>
      </c>
      <c r="K548">
        <f t="shared" si="29"/>
        <v>1103714.832735341</v>
      </c>
    </row>
    <row r="549" spans="10:11" x14ac:dyDescent="0.2">
      <c r="J549">
        <f t="shared" si="30"/>
        <v>1345</v>
      </c>
      <c r="K549">
        <f t="shared" si="29"/>
        <v>1116139.3174689256</v>
      </c>
    </row>
    <row r="550" spans="10:11" x14ac:dyDescent="0.2">
      <c r="J550">
        <f>J549+10</f>
        <v>1355</v>
      </c>
      <c r="K550">
        <f t="shared" si="29"/>
        <v>1128610.0761556218</v>
      </c>
    </row>
    <row r="551" spans="10:11" x14ac:dyDescent="0.2">
      <c r="J551">
        <f t="shared" ref="J551:J583" si="31">J550+10</f>
        <v>1365</v>
      </c>
      <c r="K551">
        <f t="shared" si="29"/>
        <v>1141126.9377242839</v>
      </c>
    </row>
    <row r="552" spans="10:11" x14ac:dyDescent="0.2">
      <c r="J552">
        <f t="shared" si="31"/>
        <v>1375</v>
      </c>
      <c r="K552">
        <f t="shared" si="29"/>
        <v>1153689.7329871655</v>
      </c>
    </row>
    <row r="553" spans="10:11" x14ac:dyDescent="0.2">
      <c r="J553">
        <f t="shared" si="31"/>
        <v>1385</v>
      </c>
      <c r="K553">
        <f t="shared" si="29"/>
        <v>1166298.2946056314</v>
      </c>
    </row>
    <row r="554" spans="10:11" x14ac:dyDescent="0.2">
      <c r="J554">
        <f t="shared" si="31"/>
        <v>1395</v>
      </c>
      <c r="K554">
        <f t="shared" si="29"/>
        <v>1178952.457056686</v>
      </c>
    </row>
    <row r="555" spans="10:11" x14ac:dyDescent="0.2">
      <c r="J555">
        <f t="shared" si="31"/>
        <v>1405</v>
      </c>
      <c r="K555">
        <f t="shared" si="29"/>
        <v>1191652.056600414</v>
      </c>
    </row>
    <row r="556" spans="10:11" x14ac:dyDescent="0.2">
      <c r="J556">
        <f t="shared" si="31"/>
        <v>1415</v>
      </c>
      <c r="K556">
        <f t="shared" si="29"/>
        <v>1204396.9312481654</v>
      </c>
    </row>
    <row r="557" spans="10:11" x14ac:dyDescent="0.2">
      <c r="J557">
        <f t="shared" si="31"/>
        <v>1425</v>
      </c>
      <c r="K557">
        <f t="shared" si="29"/>
        <v>1217186.9207315689</v>
      </c>
    </row>
    <row r="558" spans="10:11" x14ac:dyDescent="0.2">
      <c r="J558">
        <f t="shared" si="31"/>
        <v>1435</v>
      </c>
      <c r="K558">
        <f t="shared" si="29"/>
        <v>1230021.8664723011</v>
      </c>
    </row>
    <row r="559" spans="10:11" x14ac:dyDescent="0.2">
      <c r="J559">
        <f t="shared" si="31"/>
        <v>1445</v>
      </c>
      <c r="K559">
        <f t="shared" si="29"/>
        <v>1242901.6115525791</v>
      </c>
    </row>
    <row r="560" spans="10:11" x14ac:dyDescent="0.2">
      <c r="J560">
        <f t="shared" si="31"/>
        <v>1455</v>
      </c>
      <c r="K560">
        <f t="shared" si="29"/>
        <v>1255826.0006864034</v>
      </c>
    </row>
    <row r="561" spans="10:11" x14ac:dyDescent="0.2">
      <c r="J561">
        <f t="shared" si="31"/>
        <v>1465</v>
      </c>
      <c r="K561">
        <f t="shared" si="29"/>
        <v>1268794.8801914372</v>
      </c>
    </row>
    <row r="562" spans="10:11" x14ac:dyDescent="0.2">
      <c r="J562">
        <f t="shared" si="31"/>
        <v>1475</v>
      </c>
      <c r="K562">
        <f t="shared" si="29"/>
        <v>1281808.0979616253</v>
      </c>
    </row>
    <row r="563" spans="10:11" x14ac:dyDescent="0.2">
      <c r="J563">
        <f t="shared" si="31"/>
        <v>1485</v>
      </c>
      <c r="K563">
        <f t="shared" si="29"/>
        <v>1294865.5034404146</v>
      </c>
    </row>
    <row r="564" spans="10:11" x14ac:dyDescent="0.2">
      <c r="J564">
        <f t="shared" si="31"/>
        <v>1495</v>
      </c>
      <c r="K564">
        <f t="shared" si="29"/>
        <v>1307966.9475946263</v>
      </c>
    </row>
    <row r="565" spans="10:11" x14ac:dyDescent="0.2">
      <c r="J565">
        <f t="shared" si="31"/>
        <v>1505</v>
      </c>
      <c r="K565">
        <f t="shared" si="29"/>
        <v>1321112.2828889282</v>
      </c>
    </row>
    <row r="566" spans="10:11" x14ac:dyDescent="0.2">
      <c r="J566">
        <f t="shared" si="31"/>
        <v>1515</v>
      </c>
      <c r="K566">
        <f t="shared" si="29"/>
        <v>1334301.3632609402</v>
      </c>
    </row>
    <row r="567" spans="10:11" x14ac:dyDescent="0.2">
      <c r="J567">
        <f t="shared" si="31"/>
        <v>1525</v>
      </c>
      <c r="K567">
        <f t="shared" si="29"/>
        <v>1347534.0440968452</v>
      </c>
    </row>
    <row r="568" spans="10:11" x14ac:dyDescent="0.2">
      <c r="J568">
        <f t="shared" si="31"/>
        <v>1535</v>
      </c>
      <c r="K568">
        <f t="shared" si="29"/>
        <v>1360810.1822076431</v>
      </c>
    </row>
    <row r="569" spans="10:11" x14ac:dyDescent="0.2">
      <c r="J569">
        <f t="shared" si="31"/>
        <v>1545</v>
      </c>
      <c r="K569">
        <f t="shared" si="29"/>
        <v>1374129.6358058802</v>
      </c>
    </row>
    <row r="570" spans="10:11" x14ac:dyDescent="0.2">
      <c r="J570">
        <f t="shared" si="31"/>
        <v>1555</v>
      </c>
      <c r="K570">
        <f t="shared" si="29"/>
        <v>1387492.2644829415</v>
      </c>
    </row>
    <row r="571" spans="10:11" x14ac:dyDescent="0.2">
      <c r="J571">
        <f t="shared" si="31"/>
        <v>1565</v>
      </c>
      <c r="K571">
        <f t="shared" si="29"/>
        <v>1400897.9291868499</v>
      </c>
    </row>
    <row r="572" spans="10:11" x14ac:dyDescent="0.2">
      <c r="J572">
        <f t="shared" si="31"/>
        <v>1575</v>
      </c>
      <c r="K572">
        <f t="shared" si="29"/>
        <v>1414346.4922005476</v>
      </c>
    </row>
    <row r="573" spans="10:11" x14ac:dyDescent="0.2">
      <c r="J573">
        <f t="shared" si="31"/>
        <v>1585</v>
      </c>
      <c r="K573">
        <f t="shared" si="29"/>
        <v>1427837.8171206976</v>
      </c>
    </row>
    <row r="574" spans="10:11" x14ac:dyDescent="0.2">
      <c r="J574">
        <f t="shared" si="31"/>
        <v>1595</v>
      </c>
      <c r="K574">
        <f t="shared" si="29"/>
        <v>1441371.7688368957</v>
      </c>
    </row>
    <row r="575" spans="10:11" x14ac:dyDescent="0.2">
      <c r="J575">
        <f t="shared" si="31"/>
        <v>1605</v>
      </c>
      <c r="K575">
        <f t="shared" si="29"/>
        <v>1454948.2135113939</v>
      </c>
    </row>
    <row r="576" spans="10:11" x14ac:dyDescent="0.2">
      <c r="J576">
        <f t="shared" si="31"/>
        <v>1615</v>
      </c>
      <c r="K576">
        <f t="shared" si="29"/>
        <v>1468567.0185592503</v>
      </c>
    </row>
    <row r="577" spans="10:11" x14ac:dyDescent="0.2">
      <c r="J577">
        <f t="shared" si="31"/>
        <v>1625</v>
      </c>
      <c r="K577">
        <f t="shared" si="29"/>
        <v>1482228.0526288778</v>
      </c>
    </row>
    <row r="578" spans="10:11" x14ac:dyDescent="0.2">
      <c r="J578">
        <f t="shared" si="31"/>
        <v>1635</v>
      </c>
      <c r="K578">
        <f t="shared" si="29"/>
        <v>1495931.1855830813</v>
      </c>
    </row>
    <row r="579" spans="10:11" x14ac:dyDescent="0.2">
      <c r="J579">
        <f t="shared" si="31"/>
        <v>1645</v>
      </c>
      <c r="K579">
        <f t="shared" si="29"/>
        <v>1509676.2884804155</v>
      </c>
    </row>
    <row r="580" spans="10:11" x14ac:dyDescent="0.2">
      <c r="J580">
        <f t="shared" si="31"/>
        <v>1655</v>
      </c>
      <c r="K580">
        <f t="shared" si="29"/>
        <v>1523463.2335570138</v>
      </c>
    </row>
    <row r="581" spans="10:11" x14ac:dyDescent="0.2">
      <c r="J581">
        <f t="shared" si="31"/>
        <v>1665</v>
      </c>
      <c r="K581">
        <f t="shared" si="29"/>
        <v>1537291.8942087742</v>
      </c>
    </row>
    <row r="582" spans="10:11" x14ac:dyDescent="0.2">
      <c r="J582">
        <f t="shared" si="31"/>
        <v>1675</v>
      </c>
      <c r="K582">
        <f t="shared" si="29"/>
        <v>1551162.1449738885</v>
      </c>
    </row>
    <row r="583" spans="10:11" x14ac:dyDescent="0.2">
      <c r="J583">
        <f t="shared" si="31"/>
        <v>1685</v>
      </c>
      <c r="K583">
        <f t="shared" ref="K583:K633" si="32">(8*J583)^(3/2)</f>
        <v>1565073.8615158056</v>
      </c>
    </row>
    <row r="584" spans="10:11" x14ac:dyDescent="0.2">
      <c r="J584">
        <f>J583+100000</f>
        <v>101685</v>
      </c>
      <c r="K584">
        <f t="shared" si="32"/>
        <v>733703042.39262414</v>
      </c>
    </row>
    <row r="585" spans="10:11" x14ac:dyDescent="0.2">
      <c r="J585">
        <f t="shared" ref="J585:J633" si="33">J584+1000</f>
        <v>102685</v>
      </c>
      <c r="K585">
        <f t="shared" si="32"/>
        <v>744552783.6398102</v>
      </c>
    </row>
    <row r="586" spans="10:11" x14ac:dyDescent="0.2">
      <c r="J586">
        <f t="shared" si="33"/>
        <v>103685</v>
      </c>
      <c r="K586">
        <f t="shared" si="32"/>
        <v>755455484.56238616</v>
      </c>
    </row>
    <row r="587" spans="10:11" x14ac:dyDescent="0.2">
      <c r="J587">
        <f t="shared" si="33"/>
        <v>104685</v>
      </c>
      <c r="K587">
        <f t="shared" si="32"/>
        <v>766410889.14823902</v>
      </c>
    </row>
    <row r="588" spans="10:11" x14ac:dyDescent="0.2">
      <c r="J588">
        <f t="shared" si="33"/>
        <v>105685</v>
      </c>
      <c r="K588">
        <f t="shared" si="32"/>
        <v>777418745.06252706</v>
      </c>
    </row>
    <row r="589" spans="10:11" x14ac:dyDescent="0.2">
      <c r="J589">
        <f t="shared" si="33"/>
        <v>106685</v>
      </c>
      <c r="K589">
        <f t="shared" si="32"/>
        <v>788478803.56049645</v>
      </c>
    </row>
    <row r="590" spans="10:11" x14ac:dyDescent="0.2">
      <c r="J590">
        <f t="shared" si="33"/>
        <v>107685</v>
      </c>
      <c r="K590">
        <f t="shared" si="32"/>
        <v>799590819.4031446</v>
      </c>
    </row>
    <row r="591" spans="10:11" x14ac:dyDescent="0.2">
      <c r="J591">
        <f t="shared" si="33"/>
        <v>108685</v>
      </c>
      <c r="K591">
        <f t="shared" si="32"/>
        <v>810754550.77562833</v>
      </c>
    </row>
    <row r="592" spans="10:11" x14ac:dyDescent="0.2">
      <c r="J592">
        <f t="shared" si="33"/>
        <v>109685</v>
      </c>
      <c r="K592">
        <f t="shared" si="32"/>
        <v>821969759.2083261</v>
      </c>
    </row>
    <row r="593" spans="10:11" x14ac:dyDescent="0.2">
      <c r="J593">
        <f t="shared" si="33"/>
        <v>110685</v>
      </c>
      <c r="K593">
        <f t="shared" si="32"/>
        <v>833236209.50039768</v>
      </c>
    </row>
    <row r="594" spans="10:11" x14ac:dyDescent="0.2">
      <c r="J594">
        <f t="shared" si="33"/>
        <v>111685</v>
      </c>
      <c r="K594">
        <f t="shared" si="32"/>
        <v>844553669.64580464</v>
      </c>
    </row>
    <row r="595" spans="10:11" x14ac:dyDescent="0.2">
      <c r="J595">
        <f t="shared" si="33"/>
        <v>112685</v>
      </c>
      <c r="K595">
        <f t="shared" si="32"/>
        <v>855921910.76160407</v>
      </c>
    </row>
    <row r="596" spans="10:11" x14ac:dyDescent="0.2">
      <c r="J596">
        <f t="shared" si="33"/>
        <v>113685</v>
      </c>
      <c r="K596">
        <f t="shared" si="32"/>
        <v>867340707.01852083</v>
      </c>
    </row>
    <row r="597" spans="10:11" x14ac:dyDescent="0.2">
      <c r="J597">
        <f t="shared" si="33"/>
        <v>114685</v>
      </c>
      <c r="K597">
        <f t="shared" si="32"/>
        <v>878809835.57365263</v>
      </c>
    </row>
    <row r="598" spans="10:11" x14ac:dyDescent="0.2">
      <c r="J598">
        <f t="shared" si="33"/>
        <v>115685</v>
      </c>
      <c r="K598">
        <f t="shared" si="32"/>
        <v>890329076.50519359</v>
      </c>
    </row>
    <row r="599" spans="10:11" x14ac:dyDescent="0.2">
      <c r="J599">
        <f t="shared" si="33"/>
        <v>116685</v>
      </c>
      <c r="K599">
        <f t="shared" si="32"/>
        <v>901898212.74919426</v>
      </c>
    </row>
    <row r="600" spans="10:11" x14ac:dyDescent="0.2">
      <c r="J600">
        <f t="shared" si="33"/>
        <v>117685</v>
      </c>
      <c r="K600">
        <f t="shared" si="32"/>
        <v>913517030.03818858</v>
      </c>
    </row>
    <row r="601" spans="10:11" x14ac:dyDescent="0.2">
      <c r="J601">
        <f t="shared" si="33"/>
        <v>118685</v>
      </c>
      <c r="K601">
        <f t="shared" si="32"/>
        <v>925185316.84165454</v>
      </c>
    </row>
    <row r="602" spans="10:11" x14ac:dyDescent="0.2">
      <c r="J602">
        <f t="shared" si="33"/>
        <v>119685</v>
      </c>
      <c r="K602">
        <f t="shared" si="32"/>
        <v>936902864.30824125</v>
      </c>
    </row>
    <row r="603" spans="10:11" x14ac:dyDescent="0.2">
      <c r="J603">
        <f t="shared" si="33"/>
        <v>120685</v>
      </c>
      <c r="K603">
        <f t="shared" si="32"/>
        <v>948669466.20969617</v>
      </c>
    </row>
    <row r="604" spans="10:11" x14ac:dyDescent="0.2">
      <c r="J604">
        <f t="shared" si="33"/>
        <v>121685</v>
      </c>
      <c r="K604">
        <f t="shared" si="32"/>
        <v>960484918.88638866</v>
      </c>
    </row>
    <row r="605" spans="10:11" x14ac:dyDescent="0.2">
      <c r="J605">
        <f t="shared" si="33"/>
        <v>122685</v>
      </c>
      <c r="K605">
        <f t="shared" si="32"/>
        <v>972349021.19444346</v>
      </c>
    </row>
    <row r="606" spans="10:11" x14ac:dyDescent="0.2">
      <c r="J606">
        <f t="shared" si="33"/>
        <v>123685</v>
      </c>
      <c r="K606">
        <f t="shared" si="32"/>
        <v>984261574.45436561</v>
      </c>
    </row>
    <row r="607" spans="10:11" x14ac:dyDescent="0.2">
      <c r="J607">
        <f t="shared" si="33"/>
        <v>124685</v>
      </c>
      <c r="K607">
        <f t="shared" si="32"/>
        <v>996222382.40113294</v>
      </c>
    </row>
    <row r="608" spans="10:11" x14ac:dyDescent="0.2">
      <c r="J608">
        <f t="shared" si="33"/>
        <v>125685</v>
      </c>
      <c r="K608">
        <f t="shared" si="32"/>
        <v>1008231251.1356663</v>
      </c>
    </row>
    <row r="609" spans="10:11" x14ac:dyDescent="0.2">
      <c r="J609">
        <f t="shared" si="33"/>
        <v>126685</v>
      </c>
      <c r="K609">
        <f t="shared" si="32"/>
        <v>1020287989.0776888</v>
      </c>
    </row>
    <row r="610" spans="10:11" x14ac:dyDescent="0.2">
      <c r="J610">
        <f t="shared" si="33"/>
        <v>127685</v>
      </c>
      <c r="K610">
        <f t="shared" si="32"/>
        <v>1032392406.919866</v>
      </c>
    </row>
    <row r="611" spans="10:11" x14ac:dyDescent="0.2">
      <c r="J611">
        <f t="shared" si="33"/>
        <v>128685</v>
      </c>
      <c r="K611">
        <f t="shared" si="32"/>
        <v>1044544317.5832199</v>
      </c>
    </row>
    <row r="612" spans="10:11" x14ac:dyDescent="0.2">
      <c r="J612">
        <f t="shared" si="33"/>
        <v>129685</v>
      </c>
      <c r="K612">
        <f t="shared" si="32"/>
        <v>1056743536.1737475</v>
      </c>
    </row>
    <row r="613" spans="10:11" x14ac:dyDescent="0.2">
      <c r="J613">
        <f t="shared" si="33"/>
        <v>130685</v>
      </c>
      <c r="K613">
        <f t="shared" si="32"/>
        <v>1068989879.9402145</v>
      </c>
    </row>
    <row r="614" spans="10:11" x14ac:dyDescent="0.2">
      <c r="J614">
        <f t="shared" si="33"/>
        <v>131685</v>
      </c>
      <c r="K614">
        <f t="shared" si="32"/>
        <v>1081283168.2330937</v>
      </c>
    </row>
    <row r="615" spans="10:11" x14ac:dyDescent="0.2">
      <c r="J615">
        <f t="shared" si="33"/>
        <v>132685</v>
      </c>
      <c r="K615">
        <f t="shared" si="32"/>
        <v>1093623222.464572</v>
      </c>
    </row>
    <row r="616" spans="10:11" x14ac:dyDescent="0.2">
      <c r="J616">
        <f t="shared" si="33"/>
        <v>133685</v>
      </c>
      <c r="K616">
        <f t="shared" si="32"/>
        <v>1106009866.0696428</v>
      </c>
    </row>
    <row r="617" spans="10:11" x14ac:dyDescent="0.2">
      <c r="J617">
        <f t="shared" si="33"/>
        <v>134685</v>
      </c>
      <c r="K617">
        <f t="shared" si="32"/>
        <v>1118442924.4682043</v>
      </c>
    </row>
    <row r="618" spans="10:11" x14ac:dyDescent="0.2">
      <c r="J618">
        <f t="shared" si="33"/>
        <v>135685</v>
      </c>
      <c r="K618">
        <f t="shared" si="32"/>
        <v>1130922225.0281343</v>
      </c>
    </row>
    <row r="619" spans="10:11" x14ac:dyDescent="0.2">
      <c r="J619">
        <f t="shared" si="33"/>
        <v>136685</v>
      </c>
      <c r="K619">
        <f t="shared" si="32"/>
        <v>1143447597.0293472</v>
      </c>
    </row>
    <row r="620" spans="10:11" x14ac:dyDescent="0.2">
      <c r="J620">
        <f t="shared" si="33"/>
        <v>137685</v>
      </c>
      <c r="K620">
        <f t="shared" si="32"/>
        <v>1156018871.6287458</v>
      </c>
    </row>
    <row r="621" spans="10:11" x14ac:dyDescent="0.2">
      <c r="J621">
        <f t="shared" si="33"/>
        <v>138685</v>
      </c>
      <c r="K621">
        <f t="shared" si="32"/>
        <v>1168635881.826067</v>
      </c>
    </row>
    <row r="622" spans="10:11" x14ac:dyDescent="0.2">
      <c r="J622">
        <f t="shared" si="33"/>
        <v>139685</v>
      </c>
      <c r="K622">
        <f t="shared" si="32"/>
        <v>1181298462.4306414</v>
      </c>
    </row>
    <row r="623" spans="10:11" x14ac:dyDescent="0.2">
      <c r="J623">
        <f t="shared" si="33"/>
        <v>140685</v>
      </c>
      <c r="K623">
        <f t="shared" si="32"/>
        <v>1194006450.028888</v>
      </c>
    </row>
    <row r="624" spans="10:11" x14ac:dyDescent="0.2">
      <c r="J624">
        <f t="shared" si="33"/>
        <v>141685</v>
      </c>
      <c r="K624">
        <f t="shared" si="32"/>
        <v>1206759682.952739</v>
      </c>
    </row>
    <row r="625" spans="10:11" x14ac:dyDescent="0.2">
      <c r="J625">
        <f t="shared" si="33"/>
        <v>142685</v>
      </c>
      <c r="K625">
        <f t="shared" si="32"/>
        <v>1219558001.2487273</v>
      </c>
    </row>
    <row r="626" spans="10:11" x14ac:dyDescent="0.2">
      <c r="J626">
        <f t="shared" si="33"/>
        <v>143685</v>
      </c>
      <c r="K626">
        <f t="shared" si="32"/>
        <v>1232401246.6479392</v>
      </c>
    </row>
    <row r="627" spans="10:11" x14ac:dyDescent="0.2">
      <c r="J627">
        <f t="shared" si="33"/>
        <v>144685</v>
      </c>
      <c r="K627">
        <f t="shared" si="32"/>
        <v>1245289262.5366192</v>
      </c>
    </row>
    <row r="628" spans="10:11" x14ac:dyDescent="0.2">
      <c r="J628">
        <f t="shared" si="33"/>
        <v>145685</v>
      </c>
      <c r="K628">
        <f t="shared" si="32"/>
        <v>1258221893.9275324</v>
      </c>
    </row>
    <row r="629" spans="10:11" x14ac:dyDescent="0.2">
      <c r="J629">
        <f t="shared" si="33"/>
        <v>146685</v>
      </c>
      <c r="K629">
        <f t="shared" si="32"/>
        <v>1271198987.4320168</v>
      </c>
    </row>
    <row r="630" spans="10:11" x14ac:dyDescent="0.2">
      <c r="J630">
        <f t="shared" si="33"/>
        <v>147685</v>
      </c>
      <c r="K630">
        <f t="shared" si="32"/>
        <v>1284220391.2326684</v>
      </c>
    </row>
    <row r="631" spans="10:11" x14ac:dyDescent="0.2">
      <c r="J631">
        <f t="shared" si="33"/>
        <v>148685</v>
      </c>
      <c r="K631">
        <f t="shared" si="32"/>
        <v>1297285955.0567098</v>
      </c>
    </row>
    <row r="632" spans="10:11" x14ac:dyDescent="0.2">
      <c r="J632">
        <f t="shared" si="33"/>
        <v>149685</v>
      </c>
      <c r="K632">
        <f t="shared" si="32"/>
        <v>1310395530.1499617</v>
      </c>
    </row>
    <row r="633" spans="10:11" x14ac:dyDescent="0.2">
      <c r="J633">
        <f t="shared" si="33"/>
        <v>150685</v>
      </c>
      <c r="K633">
        <f t="shared" si="32"/>
        <v>1323548969.2514565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Grafici</vt:lpstr>
      </vt:variant>
      <vt:variant>
        <vt:i4>2</vt:i4>
      </vt:variant>
    </vt:vector>
  </HeadingPairs>
  <TitlesOfParts>
    <vt:vector size="5" baseType="lpstr">
      <vt:lpstr>Foglio1</vt:lpstr>
      <vt:lpstr>Foglio2</vt:lpstr>
      <vt:lpstr>Foglio3</vt:lpstr>
      <vt:lpstr>Grafico1</vt:lpstr>
      <vt:lpstr>Grafico2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di Microsoft Office</dc:creator>
  <cp:lastModifiedBy>Microsoft Office User</cp:lastModifiedBy>
  <dcterms:created xsi:type="dcterms:W3CDTF">2018-04-16T09:09:32Z</dcterms:created>
  <dcterms:modified xsi:type="dcterms:W3CDTF">2019-03-04T13:00:03Z</dcterms:modified>
</cp:coreProperties>
</file>